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2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6.xml" ContentType="application/vnd.openxmlformats-officedocument.drawingml.chartshapes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7.xml" ContentType="application/vnd.openxmlformats-officedocument.drawingml.chartshapes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9.xml" ContentType="application/vnd.openxmlformats-officedocument.drawingml.chartshapes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2.xml" ContentType="application/vnd.openxmlformats-officedocument.drawing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3.xml" ContentType="application/vnd.openxmlformats-officedocument.drawing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4.xml" ContentType="application/vnd.openxmlformats-officedocument.drawing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5.xml" ContentType="application/vnd.openxmlformats-officedocument.drawing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7.xml" ContentType="application/vnd.openxmlformats-officedocument.drawing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18.xml" ContentType="application/vnd.openxmlformats-officedocument.drawing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9.xml" ContentType="application/vnd.openxmlformats-officedocument.drawing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21.xml" ContentType="application/vnd.openxmlformats-officedocument.drawing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22.xml" ContentType="application/vnd.openxmlformats-officedocument.drawing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3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24.xml" ContentType="application/vnd.openxmlformats-officedocument.drawing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0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1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26.xml" ContentType="application/vnd.openxmlformats-officedocument.drawing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6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7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8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9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80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81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82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3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27.xml" ContentType="application/vnd.openxmlformats-officedocument.drawing+xml"/>
  <Override PartName="/xl/charts/chart84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28.xml" ContentType="application/vnd.openxmlformats-officedocument.drawing+xml"/>
  <Override PartName="/xl/charts/chart85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6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7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8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9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90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29.xml" ContentType="application/vnd.openxmlformats-officedocument.drawing+xml"/>
  <Override PartName="/xl/charts/chart91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92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93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94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30.xml" ContentType="application/vnd.openxmlformats-officedocument.drawing+xml"/>
  <Override PartName="/xl/charts/chart95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1.xml" ContentType="application/vnd.openxmlformats-officedocument.themeOverride+xml"/>
  <Override PartName="/xl/charts/chart96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7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8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9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00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01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02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NC Consulting LLC\Documents\BCWA Working\Watershed 2019\"/>
    </mc:Choice>
  </mc:AlternateContent>
  <xr:revisionPtr revIDLastSave="0" documentId="13_ncr:1_{FF372265-C216-47EE-B3F2-EE9F6EE44F2C}" xr6:coauthVersionLast="45" xr6:coauthVersionMax="45" xr10:uidLastSave="{00000000-0000-0000-0000-000000000000}"/>
  <bookViews>
    <workbookView xWindow="-110" yWindow="-110" windowWidth="19420" windowHeight="10420" firstSheet="29" activeTab="33" xr2:uid="{00000000-000D-0000-FFFF-FFFF00000000}"/>
  </bookViews>
  <sheets>
    <sheet name="Reservoir Summary Stats" sheetId="19" r:id="rId1"/>
    <sheet name="Annual Reservoir Trends" sheetId="24" r:id="rId2"/>
    <sheet name="Nitrogen Trends" sheetId="23" r:id="rId3"/>
    <sheet name="Phosphorus Trends" sheetId="22" r:id="rId4"/>
    <sheet name="Loading" sheetId="21" r:id="rId5"/>
    <sheet name="Carlson" sheetId="20" r:id="rId6"/>
    <sheet name="Walker" sheetId="25" r:id="rId7"/>
    <sheet name="Monthly Discharge" sheetId="26" r:id="rId8"/>
    <sheet name="Evergreen" sheetId="127" r:id="rId9"/>
    <sheet name="P1 Periphyton Clarity" sheetId="116" r:id="rId10"/>
    <sheet name="Air Temp" sheetId="123" r:id="rId11"/>
    <sheet name="W Temperature" sheetId="13" r:id="rId12"/>
    <sheet name="Conductance" sheetId="1" r:id="rId13"/>
    <sheet name="pH" sheetId="7" r:id="rId14"/>
    <sheet name="Oxygen" sheetId="8" r:id="rId15"/>
    <sheet name="Temp DO Comp" sheetId="49" r:id="rId16"/>
    <sheet name="T Phosphorus" sheetId="3" r:id="rId17"/>
    <sheet name="T Nitrogen" sheetId="121" r:id="rId18"/>
    <sheet name="Chlsecchi" sheetId="14" r:id="rId19"/>
    <sheet name="GEI P1 Sites" sheetId="108" r:id="rId20"/>
    <sheet name="P1 Summary" sheetId="34" r:id="rId21"/>
    <sheet name="GEI Coyote Gulch" sheetId="88" r:id="rId22"/>
    <sheet name="Coyote Summary" sheetId="90" r:id="rId23"/>
    <sheet name="GEI Mt Evans" sheetId="109" r:id="rId24"/>
    <sheet name="Mt Evans Summary" sheetId="71" r:id="rId25"/>
    <sheet name="Fen Study" sheetId="112" r:id="rId26"/>
    <sheet name="GEI Copper" sheetId="119" r:id="rId27"/>
    <sheet name="Copper Study" sheetId="120" r:id="rId28"/>
    <sheet name="GEI Watershed" sheetId="110" r:id="rId29"/>
    <sheet name="MWS 2019 Field" sheetId="72" r:id="rId30"/>
    <sheet name="MWS 2019 chemistry" sheetId="56" r:id="rId31"/>
    <sheet name="E. coli" sheetId="115" r:id="rId32"/>
    <sheet name="GEI EGL" sheetId="111" r:id="rId33"/>
    <sheet name="EGL Summary" sheetId="64" r:id="rId34"/>
    <sheet name="2019 Sediment" sheetId="107" r:id="rId35"/>
    <sheet name="2019 Sites" sheetId="113" r:id="rId36"/>
    <sheet name="Parameters 2019" sheetId="114" r:id="rId37"/>
    <sheet name="Methods Labratory" sheetId="79" r:id="rId38"/>
    <sheet name="TU Temp Data" sheetId="125" r:id="rId39"/>
    <sheet name="P1 Field Sheet" sheetId="31" r:id="rId40"/>
    <sheet name="Field WS" sheetId="80" r:id="rId41"/>
    <sheet name="Macro Samples" sheetId="118" r:id="rId42"/>
    <sheet name="Macro Field" sheetId="124" r:id="rId43"/>
    <sheet name="BCR O2 Record" sheetId="126" r:id="rId44"/>
  </sheets>
  <externalReferences>
    <externalReference r:id="rId45"/>
  </externalReferences>
  <definedNames>
    <definedName name="_xlnm.Print_Area" localSheetId="34">'2019 Sediment'!$A$1:$F$20</definedName>
    <definedName name="_xlnm.Print_Area" localSheetId="5">Carlson!$M$52:$Y$93</definedName>
    <definedName name="_xlnm.Print_Area" localSheetId="18">Chlsecchi!$A$8:$P$12</definedName>
    <definedName name="_xlnm.Print_Area" localSheetId="12">Conductance!$A$1:$O$23</definedName>
    <definedName name="_xlnm.Print_Area" localSheetId="40">'Field WS'!$A$1:$K$44</definedName>
    <definedName name="_xlnm.Print_Area" localSheetId="32">'GEI EGL'!$A$42:$E$48</definedName>
    <definedName name="_xlnm.Print_Area" localSheetId="28">'GEI Watershed'!$Q$11:$S$32</definedName>
    <definedName name="_xlnm.Print_Area" localSheetId="4">Loading!$A$57:$N$89</definedName>
    <definedName name="_xlnm.Print_Area" localSheetId="42">'Macro Field'!$A$17:$H$31</definedName>
    <definedName name="_xlnm.Print_Area" localSheetId="24">'Mt Evans Summary'!$R$2:$W$38</definedName>
    <definedName name="_xlnm.Print_Area" localSheetId="30">'MWS 2019 chemistry'!#REF!</definedName>
    <definedName name="_xlnm.Print_Area" localSheetId="14">Oxygen!$A$1:$O$25</definedName>
    <definedName name="_xlnm.Print_Area" localSheetId="39">'P1 Field Sheet'!$A$59:$H$91</definedName>
    <definedName name="_xlnm.Print_Area" localSheetId="20">'P1 Summary'!$A$1:$S$18</definedName>
    <definedName name="_xlnm.Print_Area" localSheetId="13">pH!$A$1:$O$12</definedName>
    <definedName name="_xlnm.Print_Area" localSheetId="3">'Phosphorus Trends'!$O$104:$T$111</definedName>
    <definedName name="_xlnm.Print_Area" localSheetId="16">'T Phosphorus'!$A$2:$U$11</definedName>
    <definedName name="_xlnm.Print_Area" localSheetId="15">'Temp DO Comp'!$S$1:$AG$6</definedName>
    <definedName name="_xlnm.Print_Area" localSheetId="11">'W Temperature'!$A$2:$S$79</definedName>
    <definedName name="_xlnm.Print_Area" localSheetId="6">Walker!$X$22:$AE$27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86" i="127" l="1"/>
  <c r="N87" i="127"/>
  <c r="N88" i="127"/>
  <c r="N89" i="127"/>
  <c r="N90" i="127"/>
  <c r="N91" i="127"/>
  <c r="N92" i="127"/>
  <c r="N93" i="127"/>
  <c r="N94" i="127"/>
  <c r="N95" i="127"/>
  <c r="N96" i="127"/>
  <c r="N97" i="127"/>
  <c r="N98" i="127"/>
  <c r="N99" i="127"/>
  <c r="N100" i="127"/>
  <c r="N101" i="127"/>
  <c r="N102" i="127"/>
  <c r="N103" i="127"/>
  <c r="N104" i="127"/>
  <c r="N105" i="127"/>
  <c r="N106" i="127"/>
  <c r="N107" i="127"/>
  <c r="N108" i="127"/>
  <c r="N109" i="127"/>
  <c r="N110" i="127"/>
  <c r="N111" i="127"/>
  <c r="N112" i="127"/>
  <c r="N113" i="127"/>
  <c r="N114" i="127"/>
  <c r="N115" i="127"/>
  <c r="N116" i="127"/>
  <c r="N117" i="127"/>
  <c r="N118" i="127"/>
  <c r="N119" i="127"/>
  <c r="N120" i="127"/>
  <c r="N85" i="127"/>
  <c r="M86" i="127"/>
  <c r="M87" i="127"/>
  <c r="M88" i="127"/>
  <c r="M89" i="127"/>
  <c r="M90" i="127"/>
  <c r="M91" i="127"/>
  <c r="M92" i="127"/>
  <c r="M93" i="127"/>
  <c r="M94" i="127"/>
  <c r="M95" i="127"/>
  <c r="M96" i="127"/>
  <c r="M97" i="127"/>
  <c r="M98" i="127"/>
  <c r="M99" i="127"/>
  <c r="M100" i="127"/>
  <c r="M101" i="127"/>
  <c r="M102" i="127"/>
  <c r="M103" i="127"/>
  <c r="M104" i="127"/>
  <c r="M105" i="127"/>
  <c r="M106" i="127"/>
  <c r="M107" i="127"/>
  <c r="M108" i="127"/>
  <c r="M109" i="127"/>
  <c r="M110" i="127"/>
  <c r="M111" i="127"/>
  <c r="M112" i="127"/>
  <c r="M113" i="127"/>
  <c r="M114" i="127"/>
  <c r="M115" i="127"/>
  <c r="M116" i="127"/>
  <c r="M117" i="127"/>
  <c r="M118" i="127"/>
  <c r="M119" i="127"/>
  <c r="M120" i="127"/>
  <c r="L86" i="127"/>
  <c r="L87" i="127"/>
  <c r="L88" i="127"/>
  <c r="L89" i="127"/>
  <c r="L90" i="127"/>
  <c r="L91" i="127"/>
  <c r="L92" i="127"/>
  <c r="L93" i="127"/>
  <c r="L94" i="127"/>
  <c r="L95" i="127"/>
  <c r="L96" i="127"/>
  <c r="L97" i="127"/>
  <c r="L98" i="127"/>
  <c r="L99" i="127"/>
  <c r="L100" i="127"/>
  <c r="L101" i="127"/>
  <c r="L102" i="127"/>
  <c r="L103" i="127"/>
  <c r="L104" i="127"/>
  <c r="L105" i="127"/>
  <c r="L106" i="127"/>
  <c r="L107" i="127"/>
  <c r="L108" i="127"/>
  <c r="L109" i="127"/>
  <c r="L110" i="127"/>
  <c r="L111" i="127"/>
  <c r="L112" i="127"/>
  <c r="L113" i="127"/>
  <c r="L114" i="127"/>
  <c r="L115" i="127"/>
  <c r="L116" i="127"/>
  <c r="L117" i="127"/>
  <c r="L118" i="127"/>
  <c r="L119" i="127"/>
  <c r="L120" i="127"/>
  <c r="K86" i="127"/>
  <c r="K87" i="127"/>
  <c r="K88" i="127"/>
  <c r="K89" i="127"/>
  <c r="K90" i="127"/>
  <c r="K91" i="127"/>
  <c r="K92" i="127"/>
  <c r="K93" i="127"/>
  <c r="K94" i="127"/>
  <c r="K95" i="127"/>
  <c r="K96" i="127"/>
  <c r="K97" i="127"/>
  <c r="K98" i="127"/>
  <c r="K99" i="127"/>
  <c r="K100" i="127"/>
  <c r="K101" i="127"/>
  <c r="K102" i="127"/>
  <c r="K103" i="127"/>
  <c r="K104" i="127"/>
  <c r="K105" i="127"/>
  <c r="K106" i="127"/>
  <c r="K107" i="127"/>
  <c r="K108" i="127"/>
  <c r="K109" i="127"/>
  <c r="K110" i="127"/>
  <c r="K111" i="127"/>
  <c r="K112" i="127"/>
  <c r="K113" i="127"/>
  <c r="K114" i="127"/>
  <c r="K115" i="127"/>
  <c r="K116" i="127"/>
  <c r="K117" i="127"/>
  <c r="K118" i="127"/>
  <c r="K119" i="127"/>
  <c r="K120" i="127"/>
  <c r="J86" i="127"/>
  <c r="J87" i="127"/>
  <c r="J88" i="127"/>
  <c r="J89" i="127"/>
  <c r="J90" i="127"/>
  <c r="J91" i="127"/>
  <c r="J92" i="127"/>
  <c r="J93" i="127"/>
  <c r="J94" i="127"/>
  <c r="J95" i="127"/>
  <c r="J96" i="127"/>
  <c r="J97" i="127"/>
  <c r="J98" i="127"/>
  <c r="J99" i="127"/>
  <c r="J100" i="127"/>
  <c r="J101" i="127"/>
  <c r="J102" i="127"/>
  <c r="J103" i="127"/>
  <c r="J104" i="127"/>
  <c r="J105" i="127"/>
  <c r="J106" i="127"/>
  <c r="J107" i="127"/>
  <c r="J108" i="127"/>
  <c r="J109" i="127"/>
  <c r="J110" i="127"/>
  <c r="J111" i="127"/>
  <c r="J112" i="127"/>
  <c r="J113" i="127"/>
  <c r="J114" i="127"/>
  <c r="J115" i="127"/>
  <c r="J116" i="127"/>
  <c r="J117" i="127"/>
  <c r="J118" i="127"/>
  <c r="J119" i="127"/>
  <c r="J120" i="127"/>
  <c r="I86" i="127"/>
  <c r="I87" i="127"/>
  <c r="I88" i="127"/>
  <c r="I89" i="127"/>
  <c r="I90" i="127"/>
  <c r="I91" i="127"/>
  <c r="I92" i="127"/>
  <c r="I93" i="127"/>
  <c r="I94" i="127"/>
  <c r="I95" i="127"/>
  <c r="I96" i="127"/>
  <c r="I97" i="127"/>
  <c r="I98" i="127"/>
  <c r="I99" i="127"/>
  <c r="I100" i="127"/>
  <c r="I101" i="127"/>
  <c r="I102" i="127"/>
  <c r="I103" i="127"/>
  <c r="I104" i="127"/>
  <c r="I105" i="127"/>
  <c r="I106" i="127"/>
  <c r="I107" i="127"/>
  <c r="I108" i="127"/>
  <c r="I109" i="127"/>
  <c r="I110" i="127"/>
  <c r="I111" i="127"/>
  <c r="I112" i="127"/>
  <c r="I113" i="127"/>
  <c r="I114" i="127"/>
  <c r="I115" i="127"/>
  <c r="I116" i="127"/>
  <c r="I117" i="127"/>
  <c r="I118" i="127"/>
  <c r="I119" i="127"/>
  <c r="I120" i="127"/>
  <c r="H86" i="127"/>
  <c r="H87" i="127"/>
  <c r="H88" i="127"/>
  <c r="H89" i="127"/>
  <c r="H90" i="127"/>
  <c r="H91" i="127"/>
  <c r="H92" i="127"/>
  <c r="H93" i="127"/>
  <c r="H94" i="127"/>
  <c r="H95" i="127"/>
  <c r="H96" i="127"/>
  <c r="H97" i="127"/>
  <c r="H98" i="127"/>
  <c r="H99" i="127"/>
  <c r="H100" i="127"/>
  <c r="H101" i="127"/>
  <c r="H102" i="127"/>
  <c r="H103" i="127"/>
  <c r="H104" i="127"/>
  <c r="H105" i="127"/>
  <c r="H106" i="127"/>
  <c r="H107" i="127"/>
  <c r="H108" i="127"/>
  <c r="H109" i="127"/>
  <c r="H110" i="127"/>
  <c r="H111" i="127"/>
  <c r="H112" i="127"/>
  <c r="H113" i="127"/>
  <c r="H114" i="127"/>
  <c r="H115" i="127"/>
  <c r="H116" i="127"/>
  <c r="H117" i="127"/>
  <c r="H118" i="127"/>
  <c r="H119" i="127"/>
  <c r="H120" i="127"/>
  <c r="G86" i="127"/>
  <c r="G87" i="127"/>
  <c r="G88" i="127"/>
  <c r="G89" i="127"/>
  <c r="G90" i="127"/>
  <c r="G91" i="127"/>
  <c r="G92" i="127"/>
  <c r="G93" i="127"/>
  <c r="G94" i="127"/>
  <c r="G95" i="127"/>
  <c r="G96" i="127"/>
  <c r="G97" i="127"/>
  <c r="G98" i="127"/>
  <c r="G99" i="127"/>
  <c r="G100" i="127"/>
  <c r="G101" i="127"/>
  <c r="G102" i="127"/>
  <c r="G103" i="127"/>
  <c r="G104" i="127"/>
  <c r="G105" i="127"/>
  <c r="G106" i="127"/>
  <c r="G107" i="127"/>
  <c r="G108" i="127"/>
  <c r="G109" i="127"/>
  <c r="G110" i="127"/>
  <c r="G111" i="127"/>
  <c r="G112" i="127"/>
  <c r="G113" i="127"/>
  <c r="G114" i="127"/>
  <c r="G115" i="127"/>
  <c r="G116" i="127"/>
  <c r="G117" i="127"/>
  <c r="G118" i="127"/>
  <c r="G119" i="127"/>
  <c r="G120" i="127"/>
  <c r="F86" i="127"/>
  <c r="F87" i="127"/>
  <c r="F88" i="127"/>
  <c r="F89" i="127"/>
  <c r="F90" i="127"/>
  <c r="F91" i="127"/>
  <c r="F92" i="127"/>
  <c r="F93" i="127"/>
  <c r="F94" i="127"/>
  <c r="F95" i="127"/>
  <c r="F96" i="127"/>
  <c r="F97" i="127"/>
  <c r="F98" i="127"/>
  <c r="F99" i="127"/>
  <c r="F100" i="127"/>
  <c r="F101" i="127"/>
  <c r="F102" i="127"/>
  <c r="F103" i="127"/>
  <c r="F104" i="127"/>
  <c r="F105" i="127"/>
  <c r="F106" i="127"/>
  <c r="F107" i="127"/>
  <c r="F108" i="127"/>
  <c r="F109" i="127"/>
  <c r="F110" i="127"/>
  <c r="F111" i="127"/>
  <c r="F112" i="127"/>
  <c r="F113" i="127"/>
  <c r="F114" i="127"/>
  <c r="F115" i="127"/>
  <c r="F116" i="127"/>
  <c r="F117" i="127"/>
  <c r="F118" i="127"/>
  <c r="F119" i="127"/>
  <c r="F120" i="127"/>
  <c r="E86" i="127"/>
  <c r="E87" i="127"/>
  <c r="E88" i="127"/>
  <c r="E89" i="127"/>
  <c r="E90" i="127"/>
  <c r="E91" i="127"/>
  <c r="E92" i="127"/>
  <c r="E93" i="127"/>
  <c r="E94" i="127"/>
  <c r="E95" i="127"/>
  <c r="E96" i="127"/>
  <c r="E97" i="127"/>
  <c r="E98" i="127"/>
  <c r="E99" i="127"/>
  <c r="E100" i="127"/>
  <c r="E101" i="127"/>
  <c r="E102" i="127"/>
  <c r="E103" i="127"/>
  <c r="E104" i="127"/>
  <c r="E105" i="127"/>
  <c r="E106" i="127"/>
  <c r="E107" i="127"/>
  <c r="E108" i="127"/>
  <c r="E109" i="127"/>
  <c r="E110" i="127"/>
  <c r="E111" i="127"/>
  <c r="E112" i="127"/>
  <c r="E113" i="127"/>
  <c r="E114" i="127"/>
  <c r="E115" i="127"/>
  <c r="E116" i="127"/>
  <c r="E117" i="127"/>
  <c r="E118" i="127"/>
  <c r="E119" i="127"/>
  <c r="E120" i="127"/>
  <c r="D86" i="127"/>
  <c r="D87" i="127"/>
  <c r="D88" i="127"/>
  <c r="D89" i="127"/>
  <c r="D90" i="127"/>
  <c r="D91" i="127"/>
  <c r="D92" i="127"/>
  <c r="D93" i="127"/>
  <c r="D94" i="127"/>
  <c r="D95" i="127"/>
  <c r="D96" i="127"/>
  <c r="D97" i="127"/>
  <c r="D98" i="127"/>
  <c r="D99" i="127"/>
  <c r="D100" i="127"/>
  <c r="D101" i="127"/>
  <c r="D102" i="127"/>
  <c r="D103" i="127"/>
  <c r="D104" i="127"/>
  <c r="D105" i="127"/>
  <c r="D106" i="127"/>
  <c r="D107" i="127"/>
  <c r="D108" i="127"/>
  <c r="D109" i="127"/>
  <c r="D110" i="127"/>
  <c r="D111" i="127"/>
  <c r="D112" i="127"/>
  <c r="D113" i="127"/>
  <c r="D114" i="127"/>
  <c r="D115" i="127"/>
  <c r="D116" i="127"/>
  <c r="D117" i="127"/>
  <c r="D118" i="127"/>
  <c r="D119" i="127"/>
  <c r="D120" i="127"/>
  <c r="C86" i="127"/>
  <c r="C87" i="127"/>
  <c r="C88" i="127"/>
  <c r="C89" i="127"/>
  <c r="C90" i="127"/>
  <c r="C91" i="127"/>
  <c r="C92" i="127"/>
  <c r="C93" i="127"/>
  <c r="C94" i="127"/>
  <c r="C95" i="127"/>
  <c r="C96" i="127"/>
  <c r="C97" i="127"/>
  <c r="C98" i="127"/>
  <c r="C99" i="127"/>
  <c r="C100" i="127"/>
  <c r="C101" i="127"/>
  <c r="C102" i="127"/>
  <c r="C103" i="127"/>
  <c r="C104" i="127"/>
  <c r="C105" i="127"/>
  <c r="C106" i="127"/>
  <c r="C107" i="127"/>
  <c r="C108" i="127"/>
  <c r="C109" i="127"/>
  <c r="C110" i="127"/>
  <c r="C111" i="127"/>
  <c r="C112" i="127"/>
  <c r="C113" i="127"/>
  <c r="C114" i="127"/>
  <c r="C115" i="127"/>
  <c r="C116" i="127"/>
  <c r="C117" i="127"/>
  <c r="C118" i="127"/>
  <c r="C119" i="127"/>
  <c r="C120" i="127"/>
  <c r="M85" i="127"/>
  <c r="L85" i="127"/>
  <c r="K85" i="127"/>
  <c r="J85" i="127"/>
  <c r="I85" i="127"/>
  <c r="H85" i="127"/>
  <c r="G85" i="127"/>
  <c r="F85" i="127"/>
  <c r="E85" i="127"/>
  <c r="D85" i="127"/>
  <c r="C85" i="127"/>
  <c r="B86" i="127"/>
  <c r="B87" i="127"/>
  <c r="B88" i="127"/>
  <c r="B89" i="127"/>
  <c r="B90" i="127"/>
  <c r="B91" i="127"/>
  <c r="B92" i="127"/>
  <c r="B93" i="127"/>
  <c r="B94" i="127"/>
  <c r="B95" i="127"/>
  <c r="B96" i="127"/>
  <c r="B97" i="127"/>
  <c r="B98" i="127"/>
  <c r="B99" i="127"/>
  <c r="B100" i="127"/>
  <c r="B101" i="127"/>
  <c r="B102" i="127"/>
  <c r="B103" i="127"/>
  <c r="B104" i="127"/>
  <c r="B105" i="127"/>
  <c r="B106" i="127"/>
  <c r="B107" i="127"/>
  <c r="B108" i="127"/>
  <c r="B109" i="127"/>
  <c r="B110" i="127"/>
  <c r="B111" i="127"/>
  <c r="B112" i="127"/>
  <c r="B113" i="127"/>
  <c r="B114" i="127"/>
  <c r="B115" i="127"/>
  <c r="B116" i="127"/>
  <c r="B117" i="127"/>
  <c r="B118" i="127"/>
  <c r="B119" i="127"/>
  <c r="B120" i="127"/>
  <c r="B85" i="127"/>
  <c r="B27" i="26"/>
  <c r="C48" i="127"/>
  <c r="D48" i="127"/>
  <c r="E48" i="127"/>
  <c r="F48" i="127"/>
  <c r="G48" i="127"/>
  <c r="H48" i="127"/>
  <c r="I48" i="127"/>
  <c r="J48" i="127"/>
  <c r="K48" i="127"/>
  <c r="L48" i="127"/>
  <c r="M48" i="127"/>
  <c r="C49" i="127"/>
  <c r="D49" i="127"/>
  <c r="E49" i="127"/>
  <c r="F49" i="127"/>
  <c r="G49" i="127"/>
  <c r="H49" i="127"/>
  <c r="I49" i="127"/>
  <c r="J49" i="127"/>
  <c r="K49" i="127"/>
  <c r="L49" i="127"/>
  <c r="M49" i="127"/>
  <c r="C50" i="127"/>
  <c r="D50" i="127"/>
  <c r="E50" i="127"/>
  <c r="F50" i="127"/>
  <c r="G50" i="127"/>
  <c r="H50" i="127"/>
  <c r="I50" i="127"/>
  <c r="J50" i="127"/>
  <c r="K50" i="127"/>
  <c r="L50" i="127"/>
  <c r="M50" i="127"/>
  <c r="C51" i="127"/>
  <c r="D51" i="127"/>
  <c r="E51" i="127"/>
  <c r="F51" i="127"/>
  <c r="G51" i="127"/>
  <c r="H51" i="127"/>
  <c r="I51" i="127"/>
  <c r="J51" i="127"/>
  <c r="K51" i="127"/>
  <c r="L51" i="127"/>
  <c r="M51" i="127"/>
  <c r="C52" i="127"/>
  <c r="D52" i="127"/>
  <c r="E52" i="127"/>
  <c r="F52" i="127"/>
  <c r="G52" i="127"/>
  <c r="H52" i="127"/>
  <c r="I52" i="127"/>
  <c r="J52" i="127"/>
  <c r="K52" i="127"/>
  <c r="L52" i="127"/>
  <c r="M52" i="127"/>
  <c r="C53" i="127"/>
  <c r="D53" i="127"/>
  <c r="E53" i="127"/>
  <c r="F53" i="127"/>
  <c r="G53" i="127"/>
  <c r="H53" i="127"/>
  <c r="I53" i="127"/>
  <c r="J53" i="127"/>
  <c r="K53" i="127"/>
  <c r="L53" i="127"/>
  <c r="M53" i="127"/>
  <c r="C54" i="127"/>
  <c r="D54" i="127"/>
  <c r="E54" i="127"/>
  <c r="F54" i="127"/>
  <c r="G54" i="127"/>
  <c r="H54" i="127"/>
  <c r="I54" i="127"/>
  <c r="J54" i="127"/>
  <c r="K54" i="127"/>
  <c r="L54" i="127"/>
  <c r="M54" i="127"/>
  <c r="C55" i="127"/>
  <c r="D55" i="127"/>
  <c r="E55" i="127"/>
  <c r="F55" i="127"/>
  <c r="G55" i="127"/>
  <c r="H55" i="127"/>
  <c r="I55" i="127"/>
  <c r="J55" i="127"/>
  <c r="K55" i="127"/>
  <c r="L55" i="127"/>
  <c r="M55" i="127"/>
  <c r="C56" i="127"/>
  <c r="D56" i="127"/>
  <c r="E56" i="127"/>
  <c r="F56" i="127"/>
  <c r="G56" i="127"/>
  <c r="H56" i="127"/>
  <c r="I56" i="127"/>
  <c r="J56" i="127"/>
  <c r="K56" i="127"/>
  <c r="L56" i="127"/>
  <c r="M56" i="127"/>
  <c r="C57" i="127"/>
  <c r="D57" i="127"/>
  <c r="E57" i="127"/>
  <c r="F57" i="127"/>
  <c r="G57" i="127"/>
  <c r="H57" i="127"/>
  <c r="I57" i="127"/>
  <c r="J57" i="127"/>
  <c r="K57" i="127"/>
  <c r="L57" i="127"/>
  <c r="M57" i="127"/>
  <c r="C58" i="127"/>
  <c r="D58" i="127"/>
  <c r="E58" i="127"/>
  <c r="F58" i="127"/>
  <c r="G58" i="127"/>
  <c r="H58" i="127"/>
  <c r="I58" i="127"/>
  <c r="J58" i="127"/>
  <c r="K58" i="127"/>
  <c r="L58" i="127"/>
  <c r="M58" i="127"/>
  <c r="C59" i="127"/>
  <c r="D59" i="127"/>
  <c r="E59" i="127"/>
  <c r="F59" i="127"/>
  <c r="G59" i="127"/>
  <c r="H59" i="127"/>
  <c r="I59" i="127"/>
  <c r="J59" i="127"/>
  <c r="K59" i="127"/>
  <c r="L59" i="127"/>
  <c r="M59" i="127"/>
  <c r="C60" i="127"/>
  <c r="D60" i="127"/>
  <c r="E60" i="127"/>
  <c r="F60" i="127"/>
  <c r="G60" i="127"/>
  <c r="H60" i="127"/>
  <c r="I60" i="127"/>
  <c r="J60" i="127"/>
  <c r="K60" i="127"/>
  <c r="L60" i="127"/>
  <c r="M60" i="127"/>
  <c r="C61" i="127"/>
  <c r="D61" i="127"/>
  <c r="E61" i="127"/>
  <c r="F61" i="127"/>
  <c r="G61" i="127"/>
  <c r="H61" i="127"/>
  <c r="I61" i="127"/>
  <c r="J61" i="127"/>
  <c r="K61" i="127"/>
  <c r="L61" i="127"/>
  <c r="M61" i="127"/>
  <c r="C62" i="127"/>
  <c r="D62" i="127"/>
  <c r="E62" i="127"/>
  <c r="F62" i="127"/>
  <c r="G62" i="127"/>
  <c r="H62" i="127"/>
  <c r="I62" i="127"/>
  <c r="J62" i="127"/>
  <c r="K62" i="127"/>
  <c r="L62" i="127"/>
  <c r="M62" i="127"/>
  <c r="C63" i="127"/>
  <c r="D63" i="127"/>
  <c r="E63" i="127"/>
  <c r="F63" i="127"/>
  <c r="G63" i="127"/>
  <c r="H63" i="127"/>
  <c r="I63" i="127"/>
  <c r="J63" i="127"/>
  <c r="K63" i="127"/>
  <c r="L63" i="127"/>
  <c r="M63" i="127"/>
  <c r="C64" i="127"/>
  <c r="D64" i="127"/>
  <c r="E64" i="127"/>
  <c r="F64" i="127"/>
  <c r="G64" i="127"/>
  <c r="H64" i="127"/>
  <c r="I64" i="127"/>
  <c r="J64" i="127"/>
  <c r="K64" i="127"/>
  <c r="L64" i="127"/>
  <c r="M64" i="127"/>
  <c r="C65" i="127"/>
  <c r="D65" i="127"/>
  <c r="E65" i="127"/>
  <c r="F65" i="127"/>
  <c r="G65" i="127"/>
  <c r="H65" i="127"/>
  <c r="I65" i="127"/>
  <c r="J65" i="127"/>
  <c r="K65" i="127"/>
  <c r="L65" i="127"/>
  <c r="M65" i="127"/>
  <c r="C66" i="127"/>
  <c r="D66" i="127"/>
  <c r="E66" i="127"/>
  <c r="F66" i="127"/>
  <c r="G66" i="127"/>
  <c r="H66" i="127"/>
  <c r="I66" i="127"/>
  <c r="J66" i="127"/>
  <c r="K66" i="127"/>
  <c r="L66" i="127"/>
  <c r="M66" i="127"/>
  <c r="C67" i="127"/>
  <c r="D67" i="127"/>
  <c r="E67" i="127"/>
  <c r="F67" i="127"/>
  <c r="G67" i="127"/>
  <c r="H67" i="127"/>
  <c r="I67" i="127"/>
  <c r="J67" i="127"/>
  <c r="K67" i="127"/>
  <c r="L67" i="127"/>
  <c r="M67" i="127"/>
  <c r="C68" i="127"/>
  <c r="D68" i="127"/>
  <c r="E68" i="127"/>
  <c r="F68" i="127"/>
  <c r="G68" i="127"/>
  <c r="H68" i="127"/>
  <c r="I68" i="127"/>
  <c r="J68" i="127"/>
  <c r="K68" i="127"/>
  <c r="L68" i="127"/>
  <c r="M68" i="127"/>
  <c r="C69" i="127"/>
  <c r="D69" i="127"/>
  <c r="E69" i="127"/>
  <c r="F69" i="127"/>
  <c r="G69" i="127"/>
  <c r="H69" i="127"/>
  <c r="I69" i="127"/>
  <c r="J69" i="127"/>
  <c r="K69" i="127"/>
  <c r="L69" i="127"/>
  <c r="M69" i="127"/>
  <c r="C70" i="127"/>
  <c r="D70" i="127"/>
  <c r="E70" i="127"/>
  <c r="F70" i="127"/>
  <c r="G70" i="127"/>
  <c r="H70" i="127"/>
  <c r="I70" i="127"/>
  <c r="J70" i="127"/>
  <c r="K70" i="127"/>
  <c r="L70" i="127"/>
  <c r="M70" i="127"/>
  <c r="C71" i="127"/>
  <c r="D71" i="127"/>
  <c r="E71" i="127"/>
  <c r="F71" i="127"/>
  <c r="G71" i="127"/>
  <c r="H71" i="127"/>
  <c r="I71" i="127"/>
  <c r="J71" i="127"/>
  <c r="K71" i="127"/>
  <c r="L71" i="127"/>
  <c r="M71" i="127"/>
  <c r="C72" i="127"/>
  <c r="D72" i="127"/>
  <c r="E72" i="127"/>
  <c r="F72" i="127"/>
  <c r="G72" i="127"/>
  <c r="H72" i="127"/>
  <c r="I72" i="127"/>
  <c r="J72" i="127"/>
  <c r="K72" i="127"/>
  <c r="L72" i="127"/>
  <c r="M72" i="127"/>
  <c r="C73" i="127"/>
  <c r="D73" i="127"/>
  <c r="E73" i="127"/>
  <c r="F73" i="127"/>
  <c r="G73" i="127"/>
  <c r="H73" i="127"/>
  <c r="I73" i="127"/>
  <c r="J73" i="127"/>
  <c r="K73" i="127"/>
  <c r="L73" i="127"/>
  <c r="M73" i="127"/>
  <c r="C74" i="127"/>
  <c r="D74" i="127"/>
  <c r="E74" i="127"/>
  <c r="F74" i="127"/>
  <c r="G74" i="127"/>
  <c r="H74" i="127"/>
  <c r="I74" i="127"/>
  <c r="J74" i="127"/>
  <c r="K74" i="127"/>
  <c r="L74" i="127"/>
  <c r="M74" i="127"/>
  <c r="C75" i="127"/>
  <c r="D75" i="127"/>
  <c r="E75" i="127"/>
  <c r="F75" i="127"/>
  <c r="G75" i="127"/>
  <c r="H75" i="127"/>
  <c r="I75" i="127"/>
  <c r="J75" i="127"/>
  <c r="K75" i="127"/>
  <c r="L75" i="127"/>
  <c r="M75" i="127"/>
  <c r="C76" i="127"/>
  <c r="D76" i="127"/>
  <c r="E76" i="127"/>
  <c r="F76" i="127"/>
  <c r="G76" i="127"/>
  <c r="H76" i="127"/>
  <c r="I76" i="127"/>
  <c r="J76" i="127"/>
  <c r="K76" i="127"/>
  <c r="L76" i="127"/>
  <c r="M76" i="127"/>
  <c r="C77" i="127"/>
  <c r="D77" i="127"/>
  <c r="E77" i="127"/>
  <c r="F77" i="127"/>
  <c r="G77" i="127"/>
  <c r="H77" i="127"/>
  <c r="I77" i="127"/>
  <c r="J77" i="127"/>
  <c r="K77" i="127"/>
  <c r="L77" i="127"/>
  <c r="M77" i="127"/>
  <c r="C78" i="127"/>
  <c r="D78" i="127"/>
  <c r="E78" i="127"/>
  <c r="F78" i="127"/>
  <c r="G78" i="127"/>
  <c r="H78" i="127"/>
  <c r="I78" i="127"/>
  <c r="J78" i="127"/>
  <c r="K78" i="127"/>
  <c r="L78" i="127"/>
  <c r="M78" i="127"/>
  <c r="C79" i="127"/>
  <c r="D79" i="127"/>
  <c r="E79" i="127"/>
  <c r="F79" i="127"/>
  <c r="G79" i="127"/>
  <c r="H79" i="127"/>
  <c r="I79" i="127"/>
  <c r="J79" i="127"/>
  <c r="K79" i="127"/>
  <c r="L79" i="127"/>
  <c r="M79" i="127"/>
  <c r="C80" i="127"/>
  <c r="D80" i="127"/>
  <c r="E80" i="127"/>
  <c r="F80" i="127"/>
  <c r="G80" i="127"/>
  <c r="H80" i="127"/>
  <c r="I80" i="127"/>
  <c r="J80" i="127"/>
  <c r="K80" i="127"/>
  <c r="L80" i="127"/>
  <c r="M80" i="127"/>
  <c r="C81" i="127"/>
  <c r="D81" i="127"/>
  <c r="E81" i="127"/>
  <c r="F81" i="127"/>
  <c r="G81" i="127"/>
  <c r="H81" i="127"/>
  <c r="I81" i="127"/>
  <c r="J81" i="127"/>
  <c r="K81" i="127"/>
  <c r="L81" i="127"/>
  <c r="M81" i="127"/>
  <c r="C82" i="127"/>
  <c r="D82" i="127"/>
  <c r="E82" i="127"/>
  <c r="F82" i="127"/>
  <c r="G82" i="127"/>
  <c r="H82" i="127"/>
  <c r="I82" i="127"/>
  <c r="J82" i="127"/>
  <c r="K82" i="127"/>
  <c r="L82" i="127"/>
  <c r="M82" i="127"/>
  <c r="C83" i="127"/>
  <c r="D83" i="127"/>
  <c r="E83" i="127"/>
  <c r="F83" i="127"/>
  <c r="G83" i="127"/>
  <c r="H83" i="127"/>
  <c r="I83" i="127"/>
  <c r="J83" i="127"/>
  <c r="B49" i="127"/>
  <c r="B50" i="127"/>
  <c r="B51" i="127"/>
  <c r="B52" i="127"/>
  <c r="B53" i="127"/>
  <c r="B54" i="127"/>
  <c r="B55" i="127"/>
  <c r="B56" i="127"/>
  <c r="B57" i="127"/>
  <c r="B58" i="127"/>
  <c r="B59" i="127"/>
  <c r="B60" i="127"/>
  <c r="B61" i="127"/>
  <c r="B62" i="127"/>
  <c r="B63" i="127"/>
  <c r="B64" i="127"/>
  <c r="B65" i="127"/>
  <c r="B66" i="127"/>
  <c r="B67" i="127"/>
  <c r="B68" i="127"/>
  <c r="B69" i="127"/>
  <c r="B70" i="127"/>
  <c r="B71" i="127"/>
  <c r="B72" i="127"/>
  <c r="B73" i="127"/>
  <c r="B74" i="127"/>
  <c r="B75" i="127"/>
  <c r="B76" i="127"/>
  <c r="B77" i="127"/>
  <c r="B78" i="127"/>
  <c r="B79" i="127"/>
  <c r="B80" i="127"/>
  <c r="B81" i="127"/>
  <c r="B82" i="127"/>
  <c r="B83" i="127"/>
  <c r="B48" i="127"/>
  <c r="B18" i="26"/>
  <c r="N9" i="127"/>
  <c r="N10" i="127"/>
  <c r="N11" i="127"/>
  <c r="N12" i="127"/>
  <c r="N13" i="127"/>
  <c r="N14" i="127"/>
  <c r="N15" i="127"/>
  <c r="N16" i="127"/>
  <c r="N17" i="127"/>
  <c r="N18" i="127"/>
  <c r="N19" i="127"/>
  <c r="N20" i="127"/>
  <c r="N21" i="127"/>
  <c r="N22" i="127"/>
  <c r="N23" i="127"/>
  <c r="N24" i="127"/>
  <c r="N25" i="127"/>
  <c r="N26" i="127"/>
  <c r="N27" i="127"/>
  <c r="N28" i="127"/>
  <c r="N29" i="127"/>
  <c r="N30" i="127"/>
  <c r="N31" i="127"/>
  <c r="N32" i="127"/>
  <c r="N33" i="127"/>
  <c r="N34" i="127"/>
  <c r="N35" i="127"/>
  <c r="N36" i="127"/>
  <c r="N37" i="127"/>
  <c r="N38" i="127"/>
  <c r="N39" i="127"/>
  <c r="N40" i="127"/>
  <c r="N41" i="127"/>
  <c r="N42" i="127"/>
  <c r="N8" i="127"/>
  <c r="N44" i="127"/>
  <c r="P28" i="26" l="1"/>
  <c r="O28" i="26"/>
  <c r="N27" i="26"/>
  <c r="N28" i="26"/>
  <c r="C28" i="26"/>
  <c r="D28" i="26"/>
  <c r="E28" i="26"/>
  <c r="F28" i="26"/>
  <c r="G28" i="26"/>
  <c r="H28" i="26"/>
  <c r="I28" i="26"/>
  <c r="J28" i="26"/>
  <c r="K28" i="26"/>
  <c r="L28" i="26"/>
  <c r="M28" i="26"/>
  <c r="C27" i="26"/>
  <c r="D27" i="26"/>
  <c r="E27" i="26"/>
  <c r="F27" i="26"/>
  <c r="G27" i="26"/>
  <c r="H27" i="26"/>
  <c r="I27" i="26"/>
  <c r="J27" i="26"/>
  <c r="K27" i="26"/>
  <c r="L27" i="26"/>
  <c r="M27" i="26"/>
  <c r="B28" i="26"/>
  <c r="B29" i="26"/>
  <c r="AW3" i="26"/>
  <c r="AT3" i="26"/>
  <c r="J8" i="64" l="1"/>
  <c r="AK21" i="20" l="1"/>
  <c r="AL21" i="20"/>
  <c r="AL22" i="20" s="1"/>
  <c r="AM21" i="20"/>
  <c r="AN21" i="20"/>
  <c r="AO21" i="20"/>
  <c r="AP21" i="20"/>
  <c r="AJ21" i="20"/>
  <c r="AJ22" i="20" s="1"/>
  <c r="AJ25" i="20"/>
  <c r="AK25" i="20"/>
  <c r="AL25" i="20"/>
  <c r="AM25" i="20"/>
  <c r="AM26" i="20" s="1"/>
  <c r="AN25" i="20"/>
  <c r="AN26" i="20" s="1"/>
  <c r="AO25" i="20"/>
  <c r="AP25" i="20"/>
  <c r="AI25" i="20"/>
  <c r="AI26" i="20" s="1"/>
  <c r="AJ26" i="20"/>
  <c r="AK26" i="20"/>
  <c r="AL26" i="20"/>
  <c r="AO26" i="20"/>
  <c r="AP26" i="20"/>
  <c r="AI24" i="20"/>
  <c r="AI28" i="20" s="1"/>
  <c r="AJ24" i="20"/>
  <c r="AL24" i="20"/>
  <c r="AM24" i="20"/>
  <c r="AO24" i="20"/>
  <c r="AI23" i="20"/>
  <c r="AJ23" i="20"/>
  <c r="AK23" i="20"/>
  <c r="AK24" i="20" s="1"/>
  <c r="AL23" i="20"/>
  <c r="AM23" i="20"/>
  <c r="AN23" i="20"/>
  <c r="AN24" i="20" s="1"/>
  <c r="AO23" i="20"/>
  <c r="AP23" i="20"/>
  <c r="AJ17" i="20"/>
  <c r="AK17" i="20"/>
  <c r="AL17" i="20"/>
  <c r="AM17" i="20"/>
  <c r="AN17" i="20"/>
  <c r="AO17" i="20"/>
  <c r="AP17" i="20"/>
  <c r="AI17" i="20"/>
  <c r="AK22" i="20"/>
  <c r="AM22" i="20"/>
  <c r="AN22" i="20"/>
  <c r="AO22" i="20"/>
  <c r="AO28" i="20" s="1"/>
  <c r="AI20" i="20"/>
  <c r="AJ20" i="20"/>
  <c r="AK20" i="20"/>
  <c r="AL20" i="20"/>
  <c r="AM20" i="20"/>
  <c r="AN20" i="20"/>
  <c r="AO20" i="20"/>
  <c r="AI19" i="20"/>
  <c r="AJ19" i="20"/>
  <c r="AK19" i="20"/>
  <c r="AL19" i="20"/>
  <c r="AM19" i="20"/>
  <c r="AN19" i="20"/>
  <c r="AO19" i="20"/>
  <c r="AP19" i="20"/>
  <c r="AK28" i="20" l="1"/>
  <c r="AL28" i="20"/>
  <c r="AO32" i="20"/>
  <c r="AN32" i="20"/>
  <c r="AM32" i="20"/>
  <c r="AL32" i="20"/>
  <c r="AK32" i="20"/>
  <c r="AJ32" i="20"/>
  <c r="AN28" i="20"/>
  <c r="AJ28" i="20"/>
  <c r="AM28" i="20"/>
  <c r="BK29" i="25"/>
  <c r="AJ29" i="25"/>
  <c r="AK29" i="25"/>
  <c r="AL29" i="25"/>
  <c r="AM29" i="25"/>
  <c r="AN29" i="25"/>
  <c r="AO29" i="25"/>
  <c r="AP29" i="25"/>
  <c r="AQ29" i="25"/>
  <c r="AR29" i="25"/>
  <c r="AS29" i="25"/>
  <c r="AT29" i="25"/>
  <c r="AU29" i="25"/>
  <c r="AV29" i="25"/>
  <c r="AW29" i="25"/>
  <c r="AX29" i="25"/>
  <c r="AY29" i="25"/>
  <c r="AZ29" i="25"/>
  <c r="BA29" i="25"/>
  <c r="BB29" i="25"/>
  <c r="BC29" i="25"/>
  <c r="BD29" i="25"/>
  <c r="BE29" i="25"/>
  <c r="BF29" i="25"/>
  <c r="BG29" i="25"/>
  <c r="BH29" i="25"/>
  <c r="BI29" i="25"/>
  <c r="BJ29" i="25"/>
  <c r="AI29" i="25"/>
  <c r="AI18" i="25"/>
  <c r="BM24" i="25"/>
  <c r="BN24" i="25"/>
  <c r="BO24" i="25"/>
  <c r="BP24" i="25"/>
  <c r="BQ24" i="25"/>
  <c r="BR24" i="25"/>
  <c r="BL24" i="25"/>
  <c r="BM23" i="25"/>
  <c r="BN23" i="25"/>
  <c r="BO23" i="25"/>
  <c r="BP23" i="25"/>
  <c r="BQ23" i="25"/>
  <c r="BR23" i="25"/>
  <c r="BL23" i="25"/>
  <c r="AJ24" i="25"/>
  <c r="AK24" i="25"/>
  <c r="AL24" i="25"/>
  <c r="AM24" i="25"/>
  <c r="AN24" i="25"/>
  <c r="AO24" i="25"/>
  <c r="AP24" i="25"/>
  <c r="AQ24" i="25"/>
  <c r="AR24" i="25"/>
  <c r="AS24" i="25"/>
  <c r="AT24" i="25"/>
  <c r="AU24" i="25"/>
  <c r="AV24" i="25"/>
  <c r="AW24" i="25"/>
  <c r="AX24" i="25"/>
  <c r="AY24" i="25"/>
  <c r="AZ24" i="25"/>
  <c r="BA24" i="25"/>
  <c r="BB24" i="25"/>
  <c r="BC24" i="25"/>
  <c r="BD24" i="25"/>
  <c r="BE24" i="25"/>
  <c r="BF24" i="25"/>
  <c r="BG24" i="25"/>
  <c r="BH24" i="25"/>
  <c r="BI24" i="25"/>
  <c r="BJ24" i="25"/>
  <c r="BK24" i="25"/>
  <c r="AI24" i="25"/>
  <c r="AJ23" i="25"/>
  <c r="AK23" i="25"/>
  <c r="AL23" i="25"/>
  <c r="AM23" i="25"/>
  <c r="AN23" i="25"/>
  <c r="AO23" i="25"/>
  <c r="AP23" i="25"/>
  <c r="AQ23" i="25"/>
  <c r="AR23" i="25"/>
  <c r="AS23" i="25"/>
  <c r="AT23" i="25"/>
  <c r="AU23" i="25"/>
  <c r="AV23" i="25"/>
  <c r="AW23" i="25"/>
  <c r="AX23" i="25"/>
  <c r="AY23" i="25"/>
  <c r="AZ23" i="25"/>
  <c r="BA23" i="25"/>
  <c r="BB23" i="25"/>
  <c r="BC23" i="25"/>
  <c r="BD23" i="25"/>
  <c r="BE23" i="25"/>
  <c r="BF23" i="25"/>
  <c r="BG23" i="25"/>
  <c r="BH23" i="25"/>
  <c r="BI23" i="25"/>
  <c r="BJ23" i="25"/>
  <c r="BK23" i="25"/>
  <c r="AI23" i="25"/>
  <c r="BO21" i="25"/>
  <c r="BL21" i="25"/>
  <c r="AJ21" i="25"/>
  <c r="AK21" i="25"/>
  <c r="AL21" i="25"/>
  <c r="AM21" i="25"/>
  <c r="AN21" i="25"/>
  <c r="AO21" i="25"/>
  <c r="AP21" i="25"/>
  <c r="AQ21" i="25"/>
  <c r="AR21" i="25"/>
  <c r="AS21" i="25"/>
  <c r="AT21" i="25"/>
  <c r="AU21" i="25"/>
  <c r="AV21" i="25"/>
  <c r="AW21" i="25"/>
  <c r="AX21" i="25"/>
  <c r="AY21" i="25"/>
  <c r="AZ21" i="25"/>
  <c r="BA21" i="25"/>
  <c r="BB21" i="25"/>
  <c r="BC21" i="25"/>
  <c r="BD21" i="25"/>
  <c r="BE21" i="25"/>
  <c r="BF21" i="25"/>
  <c r="BG21" i="25"/>
  <c r="BH21" i="25"/>
  <c r="BI21" i="25"/>
  <c r="BJ21" i="25"/>
  <c r="BK21" i="25"/>
  <c r="AI21" i="25"/>
  <c r="BL18" i="25"/>
  <c r="BM18" i="25"/>
  <c r="BN18" i="25"/>
  <c r="BO18" i="25"/>
  <c r="BP18" i="25"/>
  <c r="BQ18" i="25"/>
  <c r="BR18" i="25"/>
  <c r="AJ18" i="25"/>
  <c r="AK18" i="25"/>
  <c r="AL18" i="25"/>
  <c r="AM18" i="25"/>
  <c r="AN18" i="25"/>
  <c r="AO18" i="25"/>
  <c r="AP18" i="25"/>
  <c r="AQ18" i="25"/>
  <c r="AR18" i="25"/>
  <c r="AS18" i="25"/>
  <c r="AT18" i="25"/>
  <c r="AU18" i="25"/>
  <c r="AV18" i="25"/>
  <c r="AW18" i="25"/>
  <c r="AX18" i="25"/>
  <c r="AY18" i="25"/>
  <c r="AZ18" i="25"/>
  <c r="BA18" i="25"/>
  <c r="BB18" i="25"/>
  <c r="BC18" i="25"/>
  <c r="BD18" i="25"/>
  <c r="BE18" i="25"/>
  <c r="BF18" i="25"/>
  <c r="BG18" i="25"/>
  <c r="BH18" i="25"/>
  <c r="BI18" i="25"/>
  <c r="BJ18" i="25"/>
  <c r="BK18" i="25"/>
  <c r="AJ26" i="25"/>
  <c r="AK26" i="25"/>
  <c r="AL26" i="25"/>
  <c r="AM26" i="25"/>
  <c r="AM27" i="25" s="1"/>
  <c r="AN26" i="25"/>
  <c r="AO26" i="25"/>
  <c r="AP26" i="25"/>
  <c r="AQ26" i="25"/>
  <c r="AQ27" i="25" s="1"/>
  <c r="AR26" i="25"/>
  <c r="AS26" i="25"/>
  <c r="AS27" i="25" s="1"/>
  <c r="AT26" i="25"/>
  <c r="AU26" i="25"/>
  <c r="AU27" i="25" s="1"/>
  <c r="AV26" i="25"/>
  <c r="AW26" i="25"/>
  <c r="AW27" i="25" s="1"/>
  <c r="AX26" i="25"/>
  <c r="AY26" i="25"/>
  <c r="AY27" i="25" s="1"/>
  <c r="AZ26" i="25"/>
  <c r="BA26" i="25"/>
  <c r="BA27" i="25" s="1"/>
  <c r="BB26" i="25"/>
  <c r="BC26" i="25"/>
  <c r="BD26" i="25"/>
  <c r="BE26" i="25"/>
  <c r="BF26" i="25"/>
  <c r="BG26" i="25"/>
  <c r="BG27" i="25" s="1"/>
  <c r="BH26" i="25"/>
  <c r="BI26" i="25"/>
  <c r="BJ26" i="25"/>
  <c r="BK26" i="25"/>
  <c r="BK27" i="25" s="1"/>
  <c r="AI26" i="25"/>
  <c r="AI27" i="25" s="1"/>
  <c r="AK27" i="25"/>
  <c r="AT27" i="25"/>
  <c r="BB27" i="25"/>
  <c r="BC27" i="25"/>
  <c r="BJ27" i="25"/>
  <c r="AO27" i="25"/>
  <c r="BM26" i="25"/>
  <c r="BN26" i="25"/>
  <c r="BO26" i="25"/>
  <c r="BP26" i="25"/>
  <c r="BQ26" i="25"/>
  <c r="BR26" i="25"/>
  <c r="BL26" i="25"/>
  <c r="BL27" i="25" s="1"/>
  <c r="AL27" i="25"/>
  <c r="AP27" i="25"/>
  <c r="AX27" i="25"/>
  <c r="BE27" i="25"/>
  <c r="BF27" i="25"/>
  <c r="BI27" i="25"/>
  <c r="BM27" i="25"/>
  <c r="BN27" i="25"/>
  <c r="BO27" i="25"/>
  <c r="BQ27" i="25"/>
  <c r="BR27" i="25"/>
  <c r="AJ27" i="25"/>
  <c r="AN27" i="25"/>
  <c r="AR27" i="25"/>
  <c r="AV27" i="25"/>
  <c r="AZ27" i="25"/>
  <c r="BD27" i="25"/>
  <c r="BH27" i="25"/>
  <c r="BP27" i="25"/>
  <c r="C22" i="25"/>
  <c r="AI17" i="25"/>
  <c r="BM17" i="25"/>
  <c r="BN17" i="25"/>
  <c r="BO17" i="25"/>
  <c r="BP17" i="25"/>
  <c r="BQ17" i="25"/>
  <c r="BR17" i="25"/>
  <c r="BL17" i="25"/>
  <c r="BM20" i="25"/>
  <c r="BM21" i="25" s="1"/>
  <c r="BM29" i="25" s="1"/>
  <c r="BN20" i="25"/>
  <c r="BN21" i="25" s="1"/>
  <c r="BN29" i="25" s="1"/>
  <c r="BO20" i="25"/>
  <c r="BP20" i="25"/>
  <c r="BP21" i="25" s="1"/>
  <c r="BQ20" i="25"/>
  <c r="BQ21" i="25" s="1"/>
  <c r="BQ29" i="25" s="1"/>
  <c r="BR20" i="25"/>
  <c r="BR21" i="25" s="1"/>
  <c r="BR29" i="25" s="1"/>
  <c r="BL20" i="25"/>
  <c r="AX20" i="25"/>
  <c r="BO29" i="25" l="1"/>
  <c r="BL29" i="25"/>
  <c r="BP29" i="25"/>
  <c r="AP24" i="20"/>
  <c r="AP22" i="20"/>
  <c r="AP32" i="20" s="1"/>
  <c r="AP20" i="20"/>
  <c r="I20" i="64"/>
  <c r="AP28" i="20" l="1"/>
  <c r="AN31" i="21"/>
  <c r="K122" i="72" l="1"/>
  <c r="J122" i="72"/>
  <c r="P20" i="21"/>
  <c r="P34" i="21"/>
  <c r="AB1" i="21" l="1"/>
  <c r="E91" i="26"/>
  <c r="P31" i="26"/>
  <c r="E93" i="26" l="1"/>
  <c r="Q34" i="26" l="1"/>
  <c r="Q32" i="26"/>
  <c r="Q30" i="26"/>
  <c r="D129" i="72"/>
  <c r="D128" i="72"/>
  <c r="D126" i="72"/>
  <c r="D125" i="72"/>
  <c r="D124" i="72"/>
  <c r="D123" i="72"/>
  <c r="D122" i="72"/>
  <c r="D121" i="72"/>
  <c r="D120" i="72"/>
  <c r="D119" i="72"/>
  <c r="D118" i="72"/>
  <c r="D117" i="72"/>
  <c r="D115" i="72"/>
  <c r="D114" i="72"/>
  <c r="D113" i="72"/>
  <c r="D112" i="72"/>
  <c r="H110" i="72"/>
  <c r="H111" i="72"/>
  <c r="G110" i="72"/>
  <c r="G111" i="72"/>
  <c r="U3" i="72"/>
  <c r="D51" i="8"/>
  <c r="E51" i="8"/>
  <c r="F51" i="8"/>
  <c r="G51" i="8"/>
  <c r="H51" i="8"/>
  <c r="I51" i="8"/>
  <c r="J51" i="8"/>
  <c r="K51" i="8"/>
  <c r="L51" i="8"/>
  <c r="M51" i="8"/>
  <c r="N51" i="8"/>
  <c r="O51" i="8"/>
  <c r="C51" i="8"/>
  <c r="D50" i="8"/>
  <c r="E50" i="8"/>
  <c r="F50" i="8"/>
  <c r="G50" i="8"/>
  <c r="H50" i="8"/>
  <c r="I50" i="8"/>
  <c r="J50" i="8"/>
  <c r="K50" i="8"/>
  <c r="L50" i="8"/>
  <c r="M50" i="8"/>
  <c r="N50" i="8"/>
  <c r="O50" i="8"/>
  <c r="C50" i="8"/>
  <c r="D39" i="8"/>
  <c r="E39" i="8"/>
  <c r="F39" i="8"/>
  <c r="G39" i="8"/>
  <c r="H39" i="8"/>
  <c r="I39" i="8"/>
  <c r="J39" i="8"/>
  <c r="K39" i="8"/>
  <c r="L39" i="8"/>
  <c r="M39" i="8"/>
  <c r="N39" i="8"/>
  <c r="O39" i="8"/>
  <c r="C39" i="8"/>
  <c r="D38" i="8"/>
  <c r="E38" i="8"/>
  <c r="F38" i="8"/>
  <c r="G38" i="8"/>
  <c r="H38" i="8"/>
  <c r="I38" i="8"/>
  <c r="J38" i="8"/>
  <c r="K38" i="8"/>
  <c r="L38" i="8"/>
  <c r="M38" i="8"/>
  <c r="N38" i="8"/>
  <c r="O38" i="8"/>
  <c r="C38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B24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B23" i="8"/>
  <c r="D52" i="7" l="1"/>
  <c r="E52" i="7"/>
  <c r="F52" i="7"/>
  <c r="G52" i="7"/>
  <c r="H52" i="7"/>
  <c r="I52" i="7"/>
  <c r="J52" i="7"/>
  <c r="K52" i="7"/>
  <c r="L52" i="7"/>
  <c r="M52" i="7"/>
  <c r="N52" i="7"/>
  <c r="C52" i="7"/>
  <c r="D51" i="7"/>
  <c r="E51" i="7"/>
  <c r="F51" i="7"/>
  <c r="G51" i="7"/>
  <c r="H51" i="7"/>
  <c r="I51" i="7"/>
  <c r="J51" i="7"/>
  <c r="K51" i="7"/>
  <c r="L51" i="7"/>
  <c r="M51" i="7"/>
  <c r="N51" i="7"/>
  <c r="O51" i="7"/>
  <c r="C51" i="7"/>
  <c r="D40" i="7"/>
  <c r="E40" i="7"/>
  <c r="F40" i="7"/>
  <c r="G40" i="7"/>
  <c r="H40" i="7"/>
  <c r="I40" i="7"/>
  <c r="J40" i="7"/>
  <c r="K40" i="7"/>
  <c r="L40" i="7"/>
  <c r="M40" i="7"/>
  <c r="N40" i="7"/>
  <c r="O40" i="7"/>
  <c r="C40" i="7"/>
  <c r="D39" i="7"/>
  <c r="E39" i="7"/>
  <c r="F39" i="7"/>
  <c r="G39" i="7"/>
  <c r="H39" i="7"/>
  <c r="I39" i="7"/>
  <c r="J39" i="7"/>
  <c r="K39" i="7"/>
  <c r="L39" i="7"/>
  <c r="M39" i="7"/>
  <c r="N39" i="7"/>
  <c r="O39" i="7"/>
  <c r="C39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B25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B24" i="7"/>
  <c r="D50" i="1"/>
  <c r="E50" i="1"/>
  <c r="F50" i="1"/>
  <c r="G50" i="1"/>
  <c r="H50" i="1"/>
  <c r="I50" i="1"/>
  <c r="J50" i="1"/>
  <c r="K50" i="1"/>
  <c r="L50" i="1"/>
  <c r="M50" i="1"/>
  <c r="N50" i="1"/>
  <c r="O50" i="1"/>
  <c r="C50" i="1"/>
  <c r="D38" i="1"/>
  <c r="E38" i="1"/>
  <c r="F38" i="1"/>
  <c r="G38" i="1"/>
  <c r="H38" i="1"/>
  <c r="I38" i="1"/>
  <c r="J38" i="1"/>
  <c r="K38" i="1"/>
  <c r="L38" i="1"/>
  <c r="M38" i="1"/>
  <c r="N38" i="1"/>
  <c r="O38" i="1"/>
  <c r="C38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B23" i="1"/>
  <c r="Q50" i="13" l="1"/>
  <c r="R50" i="13"/>
  <c r="S50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C51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C40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C39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B25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B24" i="13"/>
  <c r="Q18" i="13"/>
  <c r="Q14" i="13"/>
  <c r="O19" i="116" l="1"/>
  <c r="K19" i="116"/>
  <c r="G19" i="116"/>
  <c r="C19" i="116"/>
  <c r="N19" i="116"/>
  <c r="J19" i="116"/>
  <c r="F19" i="116"/>
  <c r="B19" i="116"/>
  <c r="R23" i="13" l="1"/>
  <c r="S3" i="1" l="1"/>
  <c r="R3" i="1"/>
  <c r="Q4" i="1"/>
  <c r="E51" i="120" l="1"/>
  <c r="F51" i="120"/>
  <c r="G51" i="120"/>
  <c r="H51" i="120"/>
  <c r="I51" i="120"/>
  <c r="J51" i="120"/>
  <c r="K51" i="120"/>
  <c r="D51" i="120"/>
  <c r="E50" i="120"/>
  <c r="F50" i="120"/>
  <c r="G50" i="120"/>
  <c r="H50" i="120"/>
  <c r="I50" i="120"/>
  <c r="J50" i="120"/>
  <c r="K50" i="120"/>
  <c r="D50" i="120"/>
  <c r="E52" i="120"/>
  <c r="F52" i="120"/>
  <c r="G52" i="120"/>
  <c r="H52" i="120"/>
  <c r="I52" i="120"/>
  <c r="J52" i="120"/>
  <c r="K52" i="120"/>
  <c r="D52" i="120"/>
  <c r="D11" i="64" l="1"/>
  <c r="E11" i="64"/>
  <c r="F11" i="64"/>
  <c r="G11" i="64"/>
  <c r="H11" i="64"/>
  <c r="C11" i="64"/>
  <c r="E110" i="72"/>
  <c r="I11" i="64" l="1"/>
  <c r="Z25" i="112"/>
  <c r="Z24" i="112"/>
  <c r="Z23" i="112"/>
  <c r="Z22" i="112"/>
  <c r="Y24" i="112"/>
  <c r="Y23" i="112"/>
  <c r="Y22" i="112"/>
  <c r="X25" i="112"/>
  <c r="X23" i="112"/>
  <c r="X22" i="112"/>
  <c r="E35" i="71"/>
  <c r="E36" i="71"/>
  <c r="M14" i="71"/>
  <c r="N14" i="71"/>
  <c r="N13" i="71"/>
  <c r="G49" i="90"/>
  <c r="F49" i="90"/>
  <c r="I34" i="90"/>
  <c r="I33" i="90"/>
  <c r="S3" i="90"/>
  <c r="S4" i="90"/>
  <c r="BK20" i="25"/>
  <c r="BK17" i="25"/>
  <c r="BK9" i="25"/>
  <c r="BK10" i="25"/>
  <c r="BK6" i="25"/>
  <c r="BK7" i="25" s="1"/>
  <c r="BK12" i="25" s="1"/>
  <c r="BK3" i="25"/>
  <c r="BK4" i="25" s="1"/>
  <c r="AE36" i="20"/>
  <c r="AE37" i="20" s="1"/>
  <c r="AE39" i="20" s="1"/>
  <c r="AE33" i="20"/>
  <c r="AE34" i="20" s="1"/>
  <c r="AE30" i="20"/>
  <c r="AE31" i="20" s="1"/>
  <c r="AE25" i="20"/>
  <c r="AE26" i="20" s="1"/>
  <c r="AE23" i="20"/>
  <c r="AE22" i="20"/>
  <c r="AE19" i="20"/>
  <c r="AE20" i="20" s="1"/>
  <c r="AF16" i="24"/>
  <c r="AF14" i="24"/>
  <c r="AC9" i="24"/>
  <c r="AD9" i="24"/>
  <c r="AE9" i="24"/>
  <c r="AF8" i="24"/>
  <c r="AF7" i="24"/>
  <c r="AF22" i="24"/>
  <c r="AD17" i="24"/>
  <c r="AE17" i="24"/>
  <c r="AF4" i="24"/>
  <c r="AM35" i="21"/>
  <c r="AM31" i="21"/>
  <c r="AP31" i="21" s="1"/>
  <c r="AQ31" i="21" s="1"/>
  <c r="AP30" i="21"/>
  <c r="AQ30" i="21" s="1"/>
  <c r="AP29" i="21"/>
  <c r="AQ29" i="21" s="1"/>
  <c r="AO31" i="21"/>
  <c r="AO30" i="21"/>
  <c r="AO29" i="21"/>
  <c r="AG23" i="21"/>
  <c r="AI23" i="21" s="1"/>
  <c r="AJ23" i="21" s="1"/>
  <c r="J134" i="22"/>
  <c r="G145" i="22"/>
  <c r="X125" i="23"/>
  <c r="W125" i="23"/>
  <c r="V125" i="23"/>
  <c r="X124" i="23"/>
  <c r="W124" i="23"/>
  <c r="V124" i="23"/>
  <c r="X123" i="23"/>
  <c r="W123" i="23"/>
  <c r="V123" i="23"/>
  <c r="X122" i="23"/>
  <c r="W122" i="23"/>
  <c r="V122" i="23"/>
  <c r="X121" i="23"/>
  <c r="W121" i="23"/>
  <c r="V121" i="23"/>
  <c r="X120" i="23"/>
  <c r="W120" i="23"/>
  <c r="V120" i="23"/>
  <c r="Z119" i="23"/>
  <c r="Y119" i="23"/>
  <c r="X119" i="23"/>
  <c r="W119" i="23"/>
  <c r="V119" i="23"/>
  <c r="H16" i="115"/>
  <c r="I16" i="115"/>
  <c r="J16" i="115"/>
  <c r="S3" i="7"/>
  <c r="R3" i="7"/>
  <c r="Q3" i="7"/>
  <c r="AE28" i="20" l="1"/>
  <c r="X16" i="34"/>
  <c r="Y16" i="34"/>
  <c r="W16" i="34"/>
  <c r="S3" i="13"/>
  <c r="R3" i="13"/>
  <c r="Q3" i="13"/>
  <c r="AD210" i="108"/>
  <c r="AC210" i="108"/>
  <c r="AB210" i="108"/>
  <c r="AA210" i="108"/>
  <c r="Z210" i="108"/>
  <c r="Y210" i="108"/>
  <c r="X210" i="108"/>
  <c r="W210" i="108"/>
  <c r="V210" i="108"/>
  <c r="U210" i="108"/>
  <c r="S210" i="108"/>
  <c r="T210" i="108"/>
  <c r="R210" i="108"/>
  <c r="Q210" i="108"/>
  <c r="P210" i="108"/>
  <c r="W5" i="26" l="1"/>
  <c r="X5" i="26" s="1"/>
  <c r="W4" i="26"/>
  <c r="N5" i="26"/>
  <c r="M11" i="26"/>
  <c r="M18" i="26" s="1"/>
  <c r="C12" i="26"/>
  <c r="C19" i="26" s="1"/>
  <c r="D12" i="26"/>
  <c r="D19" i="26" s="1"/>
  <c r="E12" i="26"/>
  <c r="E19" i="26" s="1"/>
  <c r="F12" i="26"/>
  <c r="F19" i="26" s="1"/>
  <c r="G12" i="26"/>
  <c r="G19" i="26" s="1"/>
  <c r="H12" i="26"/>
  <c r="H19" i="26" s="1"/>
  <c r="I12" i="26"/>
  <c r="I19" i="26" s="1"/>
  <c r="J12" i="26"/>
  <c r="J19" i="26" s="1"/>
  <c r="K12" i="26"/>
  <c r="K19" i="26" s="1"/>
  <c r="L12" i="26"/>
  <c r="L19" i="26" s="1"/>
  <c r="M12" i="26"/>
  <c r="M19" i="26" s="1"/>
  <c r="C11" i="26"/>
  <c r="C18" i="26" s="1"/>
  <c r="D11" i="26"/>
  <c r="D18" i="26" s="1"/>
  <c r="E11" i="26"/>
  <c r="E18" i="26" s="1"/>
  <c r="F11" i="26"/>
  <c r="F18" i="26" s="1"/>
  <c r="G11" i="26"/>
  <c r="G18" i="26" s="1"/>
  <c r="H11" i="26"/>
  <c r="H18" i="26" s="1"/>
  <c r="I11" i="26"/>
  <c r="I18" i="26" s="1"/>
  <c r="J11" i="26"/>
  <c r="J18" i="26" s="1"/>
  <c r="K11" i="26"/>
  <c r="K18" i="26" s="1"/>
  <c r="L11" i="26"/>
  <c r="L18" i="26" s="1"/>
  <c r="B11" i="26"/>
  <c r="B12" i="26"/>
  <c r="B19" i="26" s="1"/>
  <c r="W6" i="26"/>
  <c r="W7" i="26"/>
  <c r="AG24" i="107" l="1"/>
  <c r="AB24" i="107"/>
  <c r="AD24" i="107"/>
  <c r="AH24" i="107" s="1"/>
  <c r="AL22" i="107" s="1"/>
  <c r="AE13" i="107"/>
  <c r="AB13" i="107"/>
  <c r="AC13" i="107" s="1"/>
  <c r="AF13" i="107" l="1"/>
  <c r="AE24" i="107"/>
  <c r="AK22" i="107" s="1"/>
  <c r="AB5" i="126"/>
  <c r="AB6" i="126"/>
  <c r="AB7" i="126"/>
  <c r="AB8" i="126"/>
  <c r="AB9" i="126"/>
  <c r="AB10" i="126"/>
  <c r="AB11" i="126"/>
  <c r="AB12" i="126"/>
  <c r="AB13" i="126"/>
  <c r="AB4" i="126"/>
  <c r="AA5" i="126"/>
  <c r="AA6" i="126"/>
  <c r="AA7" i="126"/>
  <c r="AA8" i="126"/>
  <c r="AA9" i="126"/>
  <c r="AA10" i="126"/>
  <c r="AA11" i="126"/>
  <c r="AA12" i="126"/>
  <c r="AA13" i="126"/>
  <c r="AA4" i="126"/>
  <c r="Y5" i="126"/>
  <c r="Y6" i="126"/>
  <c r="Y7" i="126"/>
  <c r="Y8" i="126"/>
  <c r="Y9" i="126"/>
  <c r="Y10" i="126"/>
  <c r="Y11" i="126"/>
  <c r="Y12" i="126"/>
  <c r="Y13" i="126"/>
  <c r="Y14" i="126"/>
  <c r="Y15" i="126"/>
  <c r="Y16" i="126"/>
  <c r="Y17" i="126"/>
  <c r="Y18" i="126"/>
  <c r="Y4" i="126"/>
  <c r="Z5" i="126"/>
  <c r="Z6" i="126"/>
  <c r="Z7" i="126"/>
  <c r="Z8" i="126"/>
  <c r="Z9" i="126"/>
  <c r="Z10" i="126"/>
  <c r="Z11" i="126"/>
  <c r="Z12" i="126"/>
  <c r="Z13" i="126"/>
  <c r="Z14" i="126"/>
  <c r="Z15" i="126"/>
  <c r="Z16" i="126"/>
  <c r="Z4" i="126"/>
  <c r="J47" i="126" l="1"/>
  <c r="D72" i="126" l="1"/>
  <c r="K109" i="26" l="1"/>
  <c r="J109" i="26"/>
  <c r="C24" i="26" l="1"/>
  <c r="C34" i="26" s="1"/>
  <c r="D24" i="26"/>
  <c r="D34" i="26" s="1"/>
  <c r="E24" i="26"/>
  <c r="E34" i="26" s="1"/>
  <c r="F24" i="26"/>
  <c r="F34" i="26" s="1"/>
  <c r="G24" i="26"/>
  <c r="G34" i="26" s="1"/>
  <c r="H24" i="26"/>
  <c r="H34" i="26" s="1"/>
  <c r="I24" i="26"/>
  <c r="I34" i="26" s="1"/>
  <c r="J24" i="26"/>
  <c r="J34" i="26" s="1"/>
  <c r="K24" i="26"/>
  <c r="K34" i="26" s="1"/>
  <c r="L24" i="26"/>
  <c r="L34" i="26" s="1"/>
  <c r="M24" i="26"/>
  <c r="M34" i="26" s="1"/>
  <c r="B24" i="26"/>
  <c r="P8" i="72"/>
  <c r="P9" i="72"/>
  <c r="P10" i="72"/>
  <c r="P11" i="72"/>
  <c r="P12" i="72"/>
  <c r="P13" i="72"/>
  <c r="P14" i="72"/>
  <c r="P15" i="72"/>
  <c r="P16" i="72"/>
  <c r="P17" i="72"/>
  <c r="P18" i="72"/>
  <c r="P19" i="72"/>
  <c r="P20" i="72"/>
  <c r="P21" i="72"/>
  <c r="P22" i="72"/>
  <c r="P23" i="72"/>
  <c r="P24" i="72"/>
  <c r="P25" i="72"/>
  <c r="P26" i="72"/>
  <c r="P27" i="72"/>
  <c r="P28" i="72"/>
  <c r="P29" i="72"/>
  <c r="P30" i="72"/>
  <c r="P31" i="72"/>
  <c r="P32" i="72"/>
  <c r="P33" i="72"/>
  <c r="P34" i="72"/>
  <c r="P35" i="72"/>
  <c r="P36" i="72"/>
  <c r="P37" i="72"/>
  <c r="P38" i="72"/>
  <c r="P39" i="72"/>
  <c r="P40" i="72"/>
  <c r="P41" i="72"/>
  <c r="P42" i="72"/>
  <c r="P43" i="72"/>
  <c r="P44" i="72"/>
  <c r="P45" i="72"/>
  <c r="P46" i="72"/>
  <c r="P47" i="72"/>
  <c r="P48" i="72"/>
  <c r="P49" i="72"/>
  <c r="P50" i="72"/>
  <c r="P51" i="72"/>
  <c r="P52" i="72"/>
  <c r="P53" i="72"/>
  <c r="P54" i="72"/>
  <c r="P55" i="72"/>
  <c r="P56" i="72"/>
  <c r="P57" i="72"/>
  <c r="P58" i="72"/>
  <c r="P59" i="72"/>
  <c r="P60" i="72"/>
  <c r="P61" i="72"/>
  <c r="P62" i="72"/>
  <c r="P63" i="72"/>
  <c r="P64" i="72"/>
  <c r="P65" i="72"/>
  <c r="P66" i="72"/>
  <c r="P67" i="72"/>
  <c r="P68" i="72"/>
  <c r="P69" i="72"/>
  <c r="P70" i="72"/>
  <c r="P71" i="72"/>
  <c r="P72" i="72"/>
  <c r="P73" i="72"/>
  <c r="P74" i="72"/>
  <c r="P75" i="72"/>
  <c r="P76" i="72"/>
  <c r="P77" i="72"/>
  <c r="P78" i="72"/>
  <c r="P79" i="72"/>
  <c r="P80" i="72"/>
  <c r="P81" i="72"/>
  <c r="P82" i="72"/>
  <c r="P83" i="72"/>
  <c r="P84" i="72"/>
  <c r="P85" i="72"/>
  <c r="P86" i="72"/>
  <c r="P87" i="72"/>
  <c r="P88" i="72"/>
  <c r="P89" i="72"/>
  <c r="P90" i="72"/>
  <c r="P91" i="72"/>
  <c r="P92" i="72"/>
  <c r="P93" i="72"/>
  <c r="P94" i="72"/>
  <c r="P95" i="72"/>
  <c r="P96" i="72"/>
  <c r="P97" i="72"/>
  <c r="P3" i="72"/>
  <c r="P4" i="72"/>
  <c r="P5" i="72"/>
  <c r="P6" i="72"/>
  <c r="P7" i="72"/>
  <c r="P2" i="72"/>
  <c r="B32" i="21"/>
  <c r="E109" i="72"/>
  <c r="F109" i="72"/>
  <c r="N6" i="26"/>
  <c r="N7" i="26"/>
  <c r="N8" i="26"/>
  <c r="N9" i="26"/>
  <c r="N4" i="26"/>
  <c r="N12" i="71"/>
  <c r="Q32" i="72" l="1"/>
  <c r="Q20" i="72"/>
  <c r="Q86" i="72"/>
  <c r="Q62" i="72"/>
  <c r="Q50" i="72"/>
  <c r="Q38" i="72"/>
  <c r="Q26" i="72"/>
  <c r="Q2" i="72"/>
  <c r="Q92" i="72"/>
  <c r="Q68" i="72"/>
  <c r="Q56" i="72"/>
  <c r="Q14" i="72"/>
  <c r="Q80" i="72"/>
  <c r="Q74" i="72"/>
  <c r="Q44" i="72"/>
  <c r="Q8" i="72"/>
  <c r="N10" i="26"/>
  <c r="N24" i="26"/>
  <c r="B34" i="26"/>
  <c r="N34" i="26" s="1"/>
  <c r="G16" i="115" l="1"/>
  <c r="Y25" i="112" l="1"/>
  <c r="X24" i="112"/>
  <c r="I44" i="111" l="1"/>
  <c r="I45" i="111"/>
  <c r="I46" i="111"/>
  <c r="I47" i="111"/>
  <c r="I48" i="111"/>
  <c r="I43" i="111"/>
  <c r="O52" i="7"/>
  <c r="Q15" i="7"/>
  <c r="R15" i="7"/>
  <c r="Q14" i="7"/>
  <c r="R14" i="7"/>
  <c r="D51" i="1"/>
  <c r="E51" i="1"/>
  <c r="F51" i="1"/>
  <c r="G51" i="1"/>
  <c r="H51" i="1"/>
  <c r="I51" i="1"/>
  <c r="J51" i="1"/>
  <c r="K51" i="1"/>
  <c r="L51" i="1"/>
  <c r="M51" i="1"/>
  <c r="N51" i="1"/>
  <c r="O51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Q16" i="13" l="1"/>
  <c r="C52" i="13" l="1"/>
  <c r="C51" i="1"/>
  <c r="F33" i="90" l="1"/>
  <c r="AG22" i="21" l="1"/>
  <c r="AI22" i="21" s="1"/>
  <c r="AH25" i="21"/>
  <c r="AF25" i="21"/>
  <c r="AH24" i="21"/>
  <c r="AF24" i="21"/>
  <c r="BJ20" i="25"/>
  <c r="BJ17" i="25"/>
  <c r="BJ9" i="25"/>
  <c r="BJ10" i="25" s="1"/>
  <c r="BJ6" i="25"/>
  <c r="BJ7" i="25" s="1"/>
  <c r="BJ3" i="25"/>
  <c r="BJ4" i="25" s="1"/>
  <c r="AD36" i="20"/>
  <c r="AD37" i="20" s="1"/>
  <c r="AD33" i="20"/>
  <c r="AD34" i="20" s="1"/>
  <c r="AD30" i="20"/>
  <c r="AD31" i="20" s="1"/>
  <c r="AD25" i="20"/>
  <c r="AD26" i="20" s="1"/>
  <c r="AD22" i="20"/>
  <c r="AD23" i="20" s="1"/>
  <c r="AD19" i="20"/>
  <c r="AD20" i="20" s="1"/>
  <c r="E57" i="120"/>
  <c r="J40" i="120"/>
  <c r="K40" i="120"/>
  <c r="E58" i="120"/>
  <c r="F58" i="120" s="1"/>
  <c r="F57" i="120"/>
  <c r="H63" i="71"/>
  <c r="H62" i="71"/>
  <c r="H61" i="71"/>
  <c r="H60" i="71"/>
  <c r="BJ12" i="25" l="1"/>
  <c r="AD28" i="20"/>
  <c r="AJ22" i="21"/>
  <c r="AD39" i="20"/>
  <c r="E37" i="71"/>
  <c r="W8" i="26"/>
  <c r="P125" i="22" l="1"/>
  <c r="G144" i="22"/>
  <c r="F16" i="115"/>
  <c r="B16" i="115"/>
  <c r="C16" i="115"/>
  <c r="AE12" i="107" l="1"/>
  <c r="AE5" i="107"/>
  <c r="AG23" i="107" l="1"/>
  <c r="AD23" i="107"/>
  <c r="AB23" i="107"/>
  <c r="AH23" i="107" l="1"/>
  <c r="AL21" i="107" s="1"/>
  <c r="AE23" i="107"/>
  <c r="AK21" i="107" s="1"/>
  <c r="R19" i="107"/>
  <c r="S19" i="107"/>
  <c r="T19" i="107"/>
  <c r="U19" i="107"/>
  <c r="U14" i="107"/>
  <c r="U15" i="107"/>
  <c r="U16" i="107"/>
  <c r="U17" i="107"/>
  <c r="U18" i="107"/>
  <c r="T14" i="107"/>
  <c r="T15" i="107"/>
  <c r="T16" i="107"/>
  <c r="T17" i="107"/>
  <c r="T18" i="107"/>
  <c r="S14" i="107"/>
  <c r="S15" i="107"/>
  <c r="S16" i="107"/>
  <c r="S17" i="107"/>
  <c r="S18" i="107"/>
  <c r="R14" i="107"/>
  <c r="R15" i="107"/>
  <c r="R16" i="107"/>
  <c r="R17" i="107"/>
  <c r="R18" i="107"/>
  <c r="V4" i="107"/>
  <c r="V14" i="107" s="1"/>
  <c r="V5" i="107"/>
  <c r="V15" i="107" s="1"/>
  <c r="V6" i="107"/>
  <c r="V16" i="107" s="1"/>
  <c r="V7" i="107"/>
  <c r="V17" i="107" s="1"/>
  <c r="V8" i="107"/>
  <c r="V18" i="107" s="1"/>
  <c r="V9" i="107"/>
  <c r="V19" i="107" s="1"/>
  <c r="V3" i="107"/>
  <c r="V13" i="107" s="1"/>
  <c r="S13" i="107"/>
  <c r="T13" i="107"/>
  <c r="U13" i="107"/>
  <c r="R13" i="107"/>
  <c r="W19" i="107" l="1"/>
  <c r="AG5" i="21"/>
  <c r="AG6" i="21"/>
  <c r="AG7" i="21"/>
  <c r="AI7" i="21" s="1"/>
  <c r="AJ7" i="21" s="1"/>
  <c r="AG8" i="21"/>
  <c r="AI8" i="21" s="1"/>
  <c r="AJ8" i="21" s="1"/>
  <c r="AG9" i="21"/>
  <c r="AI9" i="21" s="1"/>
  <c r="AJ9" i="21" s="1"/>
  <c r="AG10" i="21"/>
  <c r="AI10" i="21" s="1"/>
  <c r="AJ10" i="21" s="1"/>
  <c r="AG11" i="21"/>
  <c r="AI11" i="21" s="1"/>
  <c r="AJ11" i="21" s="1"/>
  <c r="AG12" i="21"/>
  <c r="AI12" i="21" s="1"/>
  <c r="AJ12" i="21" s="1"/>
  <c r="AG13" i="21"/>
  <c r="AI13" i="21" s="1"/>
  <c r="AJ13" i="21" s="1"/>
  <c r="AG14" i="21"/>
  <c r="AI14" i="21" s="1"/>
  <c r="AJ14" i="21" s="1"/>
  <c r="AG15" i="21"/>
  <c r="AI15" i="21" s="1"/>
  <c r="AJ15" i="21" s="1"/>
  <c r="AG16" i="21"/>
  <c r="AI16" i="21" s="1"/>
  <c r="AJ16" i="21" s="1"/>
  <c r="AG17" i="21"/>
  <c r="AI17" i="21" s="1"/>
  <c r="AJ17" i="21" s="1"/>
  <c r="AG18" i="21"/>
  <c r="AG19" i="21"/>
  <c r="AI19" i="21" s="1"/>
  <c r="AJ19" i="21" s="1"/>
  <c r="AG20" i="21"/>
  <c r="AI20" i="21" s="1"/>
  <c r="AJ20" i="21" s="1"/>
  <c r="AG21" i="21"/>
  <c r="AI21" i="21" s="1"/>
  <c r="AJ21" i="21" s="1"/>
  <c r="AG4" i="21"/>
  <c r="AI18" i="21"/>
  <c r="AJ18" i="21" s="1"/>
  <c r="AI6" i="21"/>
  <c r="AG24" i="21" l="1"/>
  <c r="AG25" i="21"/>
  <c r="AI5" i="21"/>
  <c r="AJ5" i="21" s="1"/>
  <c r="AI4" i="21"/>
  <c r="AI24" i="21" l="1"/>
  <c r="AI25" i="21"/>
  <c r="AJ4" i="21"/>
  <c r="AJ24" i="21" l="1"/>
  <c r="AJ25" i="21"/>
  <c r="B15" i="26"/>
  <c r="C15" i="26"/>
  <c r="D15" i="26"/>
  <c r="E15" i="26"/>
  <c r="F15" i="26"/>
  <c r="G15" i="26"/>
  <c r="H15" i="26"/>
  <c r="I15" i="26"/>
  <c r="J15" i="26"/>
  <c r="K15" i="26"/>
  <c r="L15" i="26"/>
  <c r="M15" i="26"/>
  <c r="W15" i="107" l="1"/>
  <c r="W17" i="107"/>
  <c r="W13" i="107"/>
  <c r="R4" i="56" l="1"/>
  <c r="F111" i="72" s="1"/>
  <c r="R5" i="56"/>
  <c r="F112" i="72" s="1"/>
  <c r="H112" i="72" s="1"/>
  <c r="R6" i="56"/>
  <c r="F113" i="72" s="1"/>
  <c r="H113" i="72" s="1"/>
  <c r="R7" i="56"/>
  <c r="F114" i="72" s="1"/>
  <c r="H114" i="72" s="1"/>
  <c r="R8" i="56"/>
  <c r="F115" i="72" s="1"/>
  <c r="H115" i="72" s="1"/>
  <c r="R9" i="56"/>
  <c r="F116" i="72" s="1"/>
  <c r="H116" i="72" s="1"/>
  <c r="R10" i="56"/>
  <c r="F117" i="72" s="1"/>
  <c r="H117" i="72" s="1"/>
  <c r="R11" i="56"/>
  <c r="F118" i="72" s="1"/>
  <c r="H118" i="72" s="1"/>
  <c r="R12" i="56"/>
  <c r="F119" i="72" s="1"/>
  <c r="H119" i="72" s="1"/>
  <c r="R13" i="56"/>
  <c r="F120" i="72" s="1"/>
  <c r="H120" i="72" s="1"/>
  <c r="R14" i="56"/>
  <c r="F121" i="72" s="1"/>
  <c r="H121" i="72" s="1"/>
  <c r="R15" i="56"/>
  <c r="F122" i="72" s="1"/>
  <c r="H122" i="72" s="1"/>
  <c r="R19" i="56"/>
  <c r="F126" i="72" s="1"/>
  <c r="H126" i="72" s="1"/>
  <c r="R16" i="56"/>
  <c r="F123" i="72" s="1"/>
  <c r="H123" i="72" s="1"/>
  <c r="R17" i="56"/>
  <c r="F124" i="72" s="1"/>
  <c r="H124" i="72" s="1"/>
  <c r="R18" i="56"/>
  <c r="F125" i="72" s="1"/>
  <c r="H125" i="72" s="1"/>
  <c r="R20" i="56"/>
  <c r="F127" i="72" s="1"/>
  <c r="H127" i="72" s="1"/>
  <c r="R21" i="56"/>
  <c r="F128" i="72" s="1"/>
  <c r="H128" i="72" s="1"/>
  <c r="R22" i="56"/>
  <c r="F129" i="72" s="1"/>
  <c r="H129" i="72" s="1"/>
  <c r="R23" i="56"/>
  <c r="F130" i="72" s="1"/>
  <c r="H130" i="72" s="1"/>
  <c r="R24" i="56"/>
  <c r="F131" i="72" s="1"/>
  <c r="H131" i="72" s="1"/>
  <c r="R25" i="56"/>
  <c r="F132" i="72" s="1"/>
  <c r="H132" i="72" s="1"/>
  <c r="R26" i="56"/>
  <c r="F133" i="72" s="1"/>
  <c r="H133" i="72" s="1"/>
  <c r="Q4" i="56"/>
  <c r="E111" i="72" s="1"/>
  <c r="Q5" i="56"/>
  <c r="E112" i="72" s="1"/>
  <c r="G112" i="72" s="1"/>
  <c r="Q6" i="56"/>
  <c r="E113" i="72" s="1"/>
  <c r="G113" i="72" s="1"/>
  <c r="Q7" i="56"/>
  <c r="E114" i="72" s="1"/>
  <c r="G114" i="72" s="1"/>
  <c r="Q8" i="56"/>
  <c r="E115" i="72" s="1"/>
  <c r="G115" i="72" s="1"/>
  <c r="Q9" i="56"/>
  <c r="E116" i="72" s="1"/>
  <c r="Q10" i="56"/>
  <c r="E117" i="72" s="1"/>
  <c r="G117" i="72" s="1"/>
  <c r="Q11" i="56"/>
  <c r="E118" i="72" s="1"/>
  <c r="G118" i="72" s="1"/>
  <c r="Q12" i="56"/>
  <c r="E119" i="72" s="1"/>
  <c r="G119" i="72" s="1"/>
  <c r="Q13" i="56"/>
  <c r="E120" i="72" s="1"/>
  <c r="G120" i="72" s="1"/>
  <c r="Q14" i="56"/>
  <c r="E121" i="72" s="1"/>
  <c r="G121" i="72" s="1"/>
  <c r="Q15" i="56"/>
  <c r="E122" i="72" s="1"/>
  <c r="G122" i="72" s="1"/>
  <c r="Q19" i="56"/>
  <c r="E126" i="72" s="1"/>
  <c r="G126" i="72" s="1"/>
  <c r="Q16" i="56"/>
  <c r="E123" i="72" s="1"/>
  <c r="G123" i="72" s="1"/>
  <c r="Q17" i="56"/>
  <c r="E124" i="72" s="1"/>
  <c r="G124" i="72" s="1"/>
  <c r="Q18" i="56"/>
  <c r="E125" i="72" s="1"/>
  <c r="G125" i="72" s="1"/>
  <c r="Q20" i="56"/>
  <c r="E127" i="72" s="1"/>
  <c r="G127" i="72" s="1"/>
  <c r="Q21" i="56"/>
  <c r="E128" i="72" s="1"/>
  <c r="G128" i="72" s="1"/>
  <c r="Q22" i="56"/>
  <c r="E129" i="72" s="1"/>
  <c r="G129" i="72" s="1"/>
  <c r="Q23" i="56"/>
  <c r="E130" i="72" s="1"/>
  <c r="G130" i="72" s="1"/>
  <c r="Q24" i="56"/>
  <c r="E131" i="72" s="1"/>
  <c r="G131" i="72" s="1"/>
  <c r="Q25" i="56"/>
  <c r="E132" i="72" s="1"/>
  <c r="G132" i="72" s="1"/>
  <c r="Q26" i="56"/>
  <c r="E133" i="72" s="1"/>
  <c r="G133" i="72" s="1"/>
  <c r="R3" i="56"/>
  <c r="F110" i="72" s="1"/>
  <c r="Q3" i="56"/>
  <c r="I117" i="72" l="1"/>
  <c r="I113" i="72"/>
  <c r="Q49" i="1"/>
  <c r="R49" i="1"/>
  <c r="Q48" i="1"/>
  <c r="R48" i="1"/>
  <c r="Q47" i="1"/>
  <c r="R47" i="1"/>
  <c r="Q46" i="1"/>
  <c r="R46" i="1"/>
  <c r="Q45" i="1"/>
  <c r="R45" i="1"/>
  <c r="Q44" i="1"/>
  <c r="R44" i="1"/>
  <c r="Q43" i="1"/>
  <c r="R43" i="1"/>
  <c r="Q42" i="1"/>
  <c r="R42" i="1"/>
  <c r="Q41" i="1"/>
  <c r="R41" i="1"/>
  <c r="Q36" i="1"/>
  <c r="R36" i="1"/>
  <c r="Q35" i="1"/>
  <c r="R35" i="1"/>
  <c r="Q34" i="1"/>
  <c r="R34" i="1"/>
  <c r="Q33" i="1"/>
  <c r="R33" i="1"/>
  <c r="Q32" i="1"/>
  <c r="R32" i="1"/>
  <c r="Q31" i="1"/>
  <c r="R31" i="1"/>
  <c r="Q30" i="1"/>
  <c r="R30" i="1"/>
  <c r="Q29" i="1"/>
  <c r="R29" i="1"/>
  <c r="Q28" i="1"/>
  <c r="R28" i="1"/>
  <c r="Q27" i="1"/>
  <c r="R27" i="1"/>
  <c r="Q26" i="1"/>
  <c r="R26" i="1"/>
  <c r="Q22" i="1"/>
  <c r="R22" i="1"/>
  <c r="Q21" i="1"/>
  <c r="R21" i="1"/>
  <c r="Q20" i="1"/>
  <c r="R20" i="1"/>
  <c r="Q19" i="1"/>
  <c r="R19" i="1"/>
  <c r="Q18" i="1"/>
  <c r="R18" i="1"/>
  <c r="Q17" i="1"/>
  <c r="R17" i="1"/>
  <c r="Q16" i="1"/>
  <c r="R16" i="1"/>
  <c r="Q15" i="1"/>
  <c r="R15" i="1"/>
  <c r="Q14" i="1"/>
  <c r="R14" i="1"/>
  <c r="Q13" i="1"/>
  <c r="R13" i="1"/>
  <c r="Q12" i="1"/>
  <c r="R12" i="1"/>
  <c r="Q11" i="1"/>
  <c r="R11" i="1"/>
  <c r="Q10" i="1"/>
  <c r="R10" i="1"/>
  <c r="Q9" i="1"/>
  <c r="R9" i="1"/>
  <c r="Q50" i="7"/>
  <c r="R50" i="7"/>
  <c r="Q49" i="7"/>
  <c r="R49" i="7"/>
  <c r="Q48" i="7"/>
  <c r="R48" i="7"/>
  <c r="Q47" i="7"/>
  <c r="R47" i="7"/>
  <c r="Q46" i="7"/>
  <c r="R46" i="7"/>
  <c r="Q45" i="7"/>
  <c r="R45" i="7"/>
  <c r="Q44" i="7"/>
  <c r="R44" i="7"/>
  <c r="Q43" i="7"/>
  <c r="R43" i="7"/>
  <c r="Q42" i="7"/>
  <c r="R42" i="7"/>
  <c r="Q37" i="7"/>
  <c r="R37" i="7"/>
  <c r="Q36" i="7"/>
  <c r="R36" i="7"/>
  <c r="Q35" i="7"/>
  <c r="R35" i="7"/>
  <c r="Q34" i="7"/>
  <c r="R34" i="7"/>
  <c r="Q33" i="7"/>
  <c r="R33" i="7"/>
  <c r="Q32" i="7"/>
  <c r="R32" i="7"/>
  <c r="Q31" i="7"/>
  <c r="R31" i="7"/>
  <c r="Q30" i="7"/>
  <c r="R30" i="7"/>
  <c r="Q29" i="7"/>
  <c r="R29" i="7"/>
  <c r="Q28" i="7"/>
  <c r="R28" i="7"/>
  <c r="Q27" i="7"/>
  <c r="R27" i="7"/>
  <c r="Q22" i="7"/>
  <c r="R22" i="7"/>
  <c r="Q21" i="7"/>
  <c r="R21" i="7"/>
  <c r="Q20" i="7"/>
  <c r="R20" i="7"/>
  <c r="Q19" i="7"/>
  <c r="R19" i="7"/>
  <c r="Q18" i="7"/>
  <c r="R18" i="7"/>
  <c r="Q17" i="7"/>
  <c r="R17" i="7"/>
  <c r="Q16" i="7"/>
  <c r="R16" i="7"/>
  <c r="Q13" i="7"/>
  <c r="R13" i="7"/>
  <c r="Q12" i="7"/>
  <c r="R12" i="7"/>
  <c r="Q11" i="7"/>
  <c r="R11" i="7"/>
  <c r="Q10" i="7"/>
  <c r="R10" i="7"/>
  <c r="Q9" i="7"/>
  <c r="R9" i="7"/>
  <c r="Q7" i="7"/>
  <c r="R7" i="7"/>
  <c r="Q6" i="7"/>
  <c r="R6" i="7"/>
  <c r="Q5" i="7"/>
  <c r="R5" i="7"/>
  <c r="Q4" i="7"/>
  <c r="R4" i="7"/>
  <c r="Q49" i="8"/>
  <c r="R49" i="8"/>
  <c r="Q48" i="8"/>
  <c r="R48" i="8"/>
  <c r="Q47" i="8"/>
  <c r="R47" i="8"/>
  <c r="Q46" i="8"/>
  <c r="R46" i="8"/>
  <c r="Q45" i="8"/>
  <c r="R45" i="8"/>
  <c r="Q44" i="8"/>
  <c r="R44" i="8"/>
  <c r="Q43" i="8"/>
  <c r="R43" i="8"/>
  <c r="Q42" i="8"/>
  <c r="R42" i="8"/>
  <c r="Q41" i="8"/>
  <c r="R41" i="8"/>
  <c r="Q36" i="8"/>
  <c r="R36" i="8"/>
  <c r="Q35" i="8"/>
  <c r="R35" i="8"/>
  <c r="Q34" i="8"/>
  <c r="R34" i="8"/>
  <c r="Q33" i="8"/>
  <c r="R33" i="8"/>
  <c r="Q32" i="8"/>
  <c r="R32" i="8"/>
  <c r="Q31" i="8"/>
  <c r="R31" i="8"/>
  <c r="Q30" i="8"/>
  <c r="R30" i="8"/>
  <c r="Q29" i="8"/>
  <c r="R29" i="8"/>
  <c r="Q28" i="8"/>
  <c r="R28" i="8"/>
  <c r="Q27" i="8"/>
  <c r="R27" i="8"/>
  <c r="Q26" i="8"/>
  <c r="R26" i="8"/>
  <c r="Q22" i="8"/>
  <c r="R22" i="8"/>
  <c r="Q21" i="8"/>
  <c r="R21" i="8"/>
  <c r="Q20" i="8"/>
  <c r="R20" i="8"/>
  <c r="Q19" i="8"/>
  <c r="R19" i="8"/>
  <c r="Q18" i="8"/>
  <c r="R18" i="8"/>
  <c r="Q17" i="8"/>
  <c r="R17" i="8"/>
  <c r="Q16" i="8"/>
  <c r="R16" i="8"/>
  <c r="Q15" i="8"/>
  <c r="R15" i="8"/>
  <c r="Q14" i="8"/>
  <c r="R14" i="8"/>
  <c r="Q13" i="8"/>
  <c r="R13" i="8"/>
  <c r="Q12" i="8"/>
  <c r="R12" i="8"/>
  <c r="Q11" i="8"/>
  <c r="R11" i="8"/>
  <c r="Q10" i="8"/>
  <c r="R10" i="8"/>
  <c r="Q9" i="8"/>
  <c r="R9" i="8"/>
  <c r="Q7" i="8"/>
  <c r="R7" i="8"/>
  <c r="Q6" i="8"/>
  <c r="R6" i="8"/>
  <c r="Q5" i="8"/>
  <c r="R5" i="8"/>
  <c r="Q4" i="8"/>
  <c r="R4" i="8"/>
  <c r="Q43" i="13"/>
  <c r="R43" i="13"/>
  <c r="Q42" i="13"/>
  <c r="R42" i="13"/>
  <c r="Q37" i="13"/>
  <c r="R37" i="13"/>
  <c r="Q36" i="13"/>
  <c r="R36" i="13"/>
  <c r="Q35" i="13"/>
  <c r="R35" i="13"/>
  <c r="Q34" i="13"/>
  <c r="R34" i="13"/>
  <c r="Q33" i="13"/>
  <c r="R33" i="13"/>
  <c r="Q32" i="13"/>
  <c r="R32" i="13"/>
  <c r="Q28" i="13"/>
  <c r="R28" i="13"/>
  <c r="Q27" i="13"/>
  <c r="R27" i="13"/>
  <c r="Q22" i="13"/>
  <c r="Q21" i="13"/>
  <c r="Q13" i="13"/>
  <c r="Q12" i="13"/>
  <c r="Q11" i="13"/>
  <c r="Q10" i="13"/>
  <c r="Q9" i="13"/>
  <c r="Q7" i="13"/>
  <c r="Q6" i="13"/>
  <c r="Q5" i="13"/>
  <c r="Q4" i="13"/>
  <c r="Q7" i="1" l="1"/>
  <c r="Q6" i="1"/>
  <c r="Q5" i="1"/>
  <c r="R5" i="1" s="1"/>
  <c r="Q3" i="1"/>
  <c r="R4" i="1"/>
  <c r="R24" i="13"/>
  <c r="R25" i="13"/>
  <c r="R10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9" i="13"/>
  <c r="R5" i="13"/>
  <c r="R6" i="13"/>
  <c r="R7" i="13"/>
  <c r="R4" i="13"/>
  <c r="AC17" i="24" l="1"/>
  <c r="AG22" i="24"/>
  <c r="AG5" i="24"/>
  <c r="AG7" i="24"/>
  <c r="AG8" i="24"/>
  <c r="AG10" i="24"/>
  <c r="AG11" i="24"/>
  <c r="AG12" i="24"/>
  <c r="AG4" i="24"/>
  <c r="AF5" i="24"/>
  <c r="AF10" i="24"/>
  <c r="AF11" i="24"/>
  <c r="AF12" i="24"/>
  <c r="BI20" i="25"/>
  <c r="BI17" i="25"/>
  <c r="BI9" i="25"/>
  <c r="BI10" i="25" s="1"/>
  <c r="BI6" i="25"/>
  <c r="BI7" i="25" s="1"/>
  <c r="BI3" i="25"/>
  <c r="BI4" i="25" s="1"/>
  <c r="AC36" i="20"/>
  <c r="AC37" i="20" s="1"/>
  <c r="AC33" i="20"/>
  <c r="AC34" i="20" s="1"/>
  <c r="AC30" i="20"/>
  <c r="AC31" i="20" s="1"/>
  <c r="AC25" i="20"/>
  <c r="AC26" i="20" s="1"/>
  <c r="AC22" i="20"/>
  <c r="AC23" i="20" s="1"/>
  <c r="AC19" i="20"/>
  <c r="AC20" i="20" s="1"/>
  <c r="G143" i="22"/>
  <c r="AC28" i="20" l="1"/>
  <c r="BI12" i="25"/>
  <c r="AC39" i="20"/>
  <c r="N9" i="120"/>
  <c r="N10" i="120"/>
  <c r="N8" i="120"/>
  <c r="M9" i="120"/>
  <c r="M10" i="120"/>
  <c r="M8" i="120"/>
  <c r="M5" i="120"/>
  <c r="M6" i="120"/>
  <c r="M4" i="120"/>
  <c r="L9" i="120"/>
  <c r="L10" i="120"/>
  <c r="L8" i="120"/>
  <c r="L5" i="120"/>
  <c r="L6" i="120"/>
  <c r="L4" i="120"/>
  <c r="Q24" i="112"/>
  <c r="Q23" i="112"/>
  <c r="O25" i="112"/>
  <c r="O24" i="112"/>
  <c r="O22" i="112"/>
  <c r="O23" i="112"/>
  <c r="Q25" i="112"/>
  <c r="Q22" i="112"/>
  <c r="P25" i="112"/>
  <c r="P24" i="112"/>
  <c r="P23" i="112"/>
  <c r="P22" i="112"/>
  <c r="M18" i="71" l="1"/>
  <c r="K14" i="71"/>
  <c r="K18" i="71" s="1"/>
  <c r="L14" i="71"/>
  <c r="L22" i="71" s="1"/>
  <c r="M22" i="71"/>
  <c r="P8" i="71"/>
  <c r="N22" i="71" s="1"/>
  <c r="P9" i="71"/>
  <c r="N18" i="71" s="1"/>
  <c r="J14" i="71"/>
  <c r="J18" i="71" s="1"/>
  <c r="P11" i="121"/>
  <c r="P11" i="3"/>
  <c r="M22" i="3" s="1"/>
  <c r="B11" i="3"/>
  <c r="B22" i="3" s="1"/>
  <c r="C11" i="3"/>
  <c r="C22" i="3" s="1"/>
  <c r="D11" i="3"/>
  <c r="D22" i="3" s="1"/>
  <c r="E11" i="3"/>
  <c r="E22" i="3" s="1"/>
  <c r="F11" i="3"/>
  <c r="F22" i="3" s="1"/>
  <c r="G11" i="3"/>
  <c r="G22" i="3" s="1"/>
  <c r="H11" i="3"/>
  <c r="I11" i="3"/>
  <c r="J11" i="3"/>
  <c r="K11" i="3"/>
  <c r="L11" i="3"/>
  <c r="M11" i="3"/>
  <c r="B16" i="3"/>
  <c r="C16" i="3"/>
  <c r="D16" i="3"/>
  <c r="E16" i="3"/>
  <c r="F16" i="3"/>
  <c r="G16" i="3"/>
  <c r="H16" i="3"/>
  <c r="I16" i="3"/>
  <c r="J16" i="3"/>
  <c r="K16" i="3"/>
  <c r="L16" i="3"/>
  <c r="M16" i="3"/>
  <c r="B17" i="3"/>
  <c r="C17" i="3"/>
  <c r="D17" i="3"/>
  <c r="E17" i="3"/>
  <c r="F17" i="3"/>
  <c r="G17" i="3"/>
  <c r="H17" i="3"/>
  <c r="I17" i="3"/>
  <c r="J17" i="3"/>
  <c r="K17" i="3"/>
  <c r="L17" i="3"/>
  <c r="M17" i="3"/>
  <c r="B18" i="3"/>
  <c r="C18" i="3"/>
  <c r="D18" i="3"/>
  <c r="E18" i="3"/>
  <c r="F18" i="3"/>
  <c r="G18" i="3"/>
  <c r="H18" i="3"/>
  <c r="I18" i="3"/>
  <c r="J18" i="3"/>
  <c r="K18" i="3"/>
  <c r="L18" i="3"/>
  <c r="M18" i="3"/>
  <c r="B19" i="3"/>
  <c r="C19" i="3"/>
  <c r="D19" i="3"/>
  <c r="E19" i="3"/>
  <c r="F19" i="3"/>
  <c r="G19" i="3"/>
  <c r="H19" i="3"/>
  <c r="I19" i="3"/>
  <c r="J19" i="3"/>
  <c r="K19" i="3"/>
  <c r="L19" i="3"/>
  <c r="M19" i="3"/>
  <c r="B20" i="3"/>
  <c r="C20" i="3"/>
  <c r="D20" i="3"/>
  <c r="E20" i="3"/>
  <c r="F20" i="3"/>
  <c r="G20" i="3"/>
  <c r="H20" i="3"/>
  <c r="I20" i="3"/>
  <c r="J20" i="3"/>
  <c r="K20" i="3"/>
  <c r="L20" i="3"/>
  <c r="M20" i="3"/>
  <c r="B21" i="3"/>
  <c r="C21" i="3"/>
  <c r="D21" i="3"/>
  <c r="E21" i="3"/>
  <c r="F21" i="3"/>
  <c r="G21" i="3"/>
  <c r="H21" i="3"/>
  <c r="I21" i="3"/>
  <c r="J21" i="3"/>
  <c r="K21" i="3"/>
  <c r="L21" i="3"/>
  <c r="M21" i="3"/>
  <c r="I22" i="3" l="1"/>
  <c r="H22" i="3"/>
  <c r="J22" i="71"/>
  <c r="K22" i="71"/>
  <c r="L18" i="71"/>
  <c r="J22" i="3"/>
  <c r="D16" i="115"/>
  <c r="M17" i="121" l="1"/>
  <c r="M18" i="121"/>
  <c r="M19" i="121"/>
  <c r="M20" i="121"/>
  <c r="M21" i="121"/>
  <c r="M22" i="121"/>
  <c r="M16" i="121"/>
  <c r="B11" i="121"/>
  <c r="C11" i="121"/>
  <c r="D11" i="121"/>
  <c r="E11" i="121"/>
  <c r="F11" i="121"/>
  <c r="G11" i="121"/>
  <c r="H11" i="121"/>
  <c r="I11" i="121"/>
  <c r="J11" i="121"/>
  <c r="K11" i="121"/>
  <c r="L11" i="121"/>
  <c r="M11" i="121"/>
  <c r="B16" i="121"/>
  <c r="C16" i="121"/>
  <c r="D16" i="121"/>
  <c r="E16" i="121"/>
  <c r="F16" i="121"/>
  <c r="G16" i="121"/>
  <c r="H16" i="121"/>
  <c r="I16" i="121"/>
  <c r="J16" i="121"/>
  <c r="K16" i="121"/>
  <c r="L16" i="121"/>
  <c r="B17" i="121"/>
  <c r="C17" i="121"/>
  <c r="D17" i="121"/>
  <c r="E17" i="121"/>
  <c r="F17" i="121"/>
  <c r="G17" i="121"/>
  <c r="H17" i="121"/>
  <c r="I17" i="121"/>
  <c r="J17" i="121"/>
  <c r="K17" i="121"/>
  <c r="L17" i="121"/>
  <c r="B18" i="121"/>
  <c r="C18" i="121"/>
  <c r="D18" i="121"/>
  <c r="E18" i="121"/>
  <c r="F18" i="121"/>
  <c r="G18" i="121"/>
  <c r="H18" i="121"/>
  <c r="I18" i="121"/>
  <c r="J18" i="121"/>
  <c r="K18" i="121"/>
  <c r="L18" i="121"/>
  <c r="S4" i="7"/>
  <c r="S5" i="7"/>
  <c r="S6" i="7"/>
  <c r="S7" i="7"/>
  <c r="S9" i="7"/>
  <c r="S10" i="7"/>
  <c r="S11" i="7"/>
  <c r="S12" i="7"/>
  <c r="S13" i="7"/>
  <c r="S14" i="7"/>
  <c r="S15" i="7"/>
  <c r="S16" i="7"/>
  <c r="S4" i="13"/>
  <c r="S5" i="13"/>
  <c r="S6" i="13"/>
  <c r="S7" i="13"/>
  <c r="S9" i="13"/>
  <c r="S10" i="13"/>
  <c r="S11" i="13"/>
  <c r="S12" i="13"/>
  <c r="S13" i="13"/>
  <c r="S14" i="13"/>
  <c r="Q15" i="13"/>
  <c r="S15" i="13"/>
  <c r="S16" i="13"/>
  <c r="S24" i="13" l="1"/>
  <c r="AB12" i="107" l="1"/>
  <c r="AC12" i="107" s="1"/>
  <c r="AF12" i="107" l="1"/>
  <c r="W10" i="26" l="1"/>
  <c r="W9" i="26"/>
  <c r="E45" i="120" l="1"/>
  <c r="F45" i="120"/>
  <c r="G45" i="120"/>
  <c r="H45" i="120"/>
  <c r="I45" i="120"/>
  <c r="J45" i="120"/>
  <c r="K45" i="120"/>
  <c r="E46" i="120"/>
  <c r="F46" i="120"/>
  <c r="G46" i="120"/>
  <c r="H46" i="120"/>
  <c r="I46" i="120"/>
  <c r="J46" i="120"/>
  <c r="K46" i="120"/>
  <c r="D45" i="120"/>
  <c r="D46" i="120"/>
  <c r="E44" i="120"/>
  <c r="F44" i="120"/>
  <c r="G44" i="120"/>
  <c r="H44" i="120"/>
  <c r="I44" i="120"/>
  <c r="J44" i="120"/>
  <c r="K44" i="120"/>
  <c r="D44" i="120"/>
  <c r="I200" i="56"/>
  <c r="I199" i="56"/>
  <c r="L52" i="120" l="1"/>
  <c r="L50" i="120"/>
  <c r="L51" i="120"/>
  <c r="M166" i="56"/>
  <c r="M167" i="56"/>
  <c r="M168" i="56"/>
  <c r="M169" i="56"/>
  <c r="M170" i="56"/>
  <c r="M171" i="56"/>
  <c r="M172" i="56"/>
  <c r="M165" i="56"/>
  <c r="M154" i="56"/>
  <c r="M155" i="56"/>
  <c r="M156" i="56"/>
  <c r="M157" i="56"/>
  <c r="M158" i="56"/>
  <c r="M159" i="56"/>
  <c r="M160" i="56"/>
  <c r="M161" i="56"/>
  <c r="M133" i="56"/>
  <c r="M134" i="56"/>
  <c r="M135" i="56"/>
  <c r="M136" i="56"/>
  <c r="M137" i="56"/>
  <c r="M138" i="56"/>
  <c r="M139" i="56"/>
  <c r="M132" i="56"/>
  <c r="F144" i="56" l="1"/>
  <c r="G144" i="56"/>
  <c r="G188" i="56" s="1"/>
  <c r="H144" i="56"/>
  <c r="H188" i="56" s="1"/>
  <c r="I144" i="56"/>
  <c r="I188" i="56" s="1"/>
  <c r="J144" i="56"/>
  <c r="J188" i="56" s="1"/>
  <c r="K144" i="56"/>
  <c r="K188" i="56" s="1"/>
  <c r="L144" i="56"/>
  <c r="L188" i="56" s="1"/>
  <c r="F145" i="56"/>
  <c r="F189" i="56" s="1"/>
  <c r="G145" i="56"/>
  <c r="G189" i="56" s="1"/>
  <c r="H145" i="56"/>
  <c r="H189" i="56" s="1"/>
  <c r="I145" i="56"/>
  <c r="I189" i="56" s="1"/>
  <c r="J145" i="56"/>
  <c r="J189" i="56" s="1"/>
  <c r="K145" i="56"/>
  <c r="K189" i="56" s="1"/>
  <c r="L145" i="56"/>
  <c r="L189" i="56" s="1"/>
  <c r="F146" i="56"/>
  <c r="F190" i="56" s="1"/>
  <c r="G146" i="56"/>
  <c r="G190" i="56" s="1"/>
  <c r="H146" i="56"/>
  <c r="H190" i="56" s="1"/>
  <c r="I146" i="56"/>
  <c r="I190" i="56" s="1"/>
  <c r="J146" i="56"/>
  <c r="J190" i="56" s="1"/>
  <c r="K146" i="56"/>
  <c r="K190" i="56" s="1"/>
  <c r="L146" i="56"/>
  <c r="L190" i="56" s="1"/>
  <c r="F147" i="56"/>
  <c r="F191" i="56" s="1"/>
  <c r="G147" i="56"/>
  <c r="G191" i="56" s="1"/>
  <c r="H147" i="56"/>
  <c r="H191" i="56" s="1"/>
  <c r="I147" i="56"/>
  <c r="I191" i="56" s="1"/>
  <c r="J147" i="56"/>
  <c r="J191" i="56" s="1"/>
  <c r="K147" i="56"/>
  <c r="K191" i="56" s="1"/>
  <c r="L147" i="56"/>
  <c r="L191" i="56" s="1"/>
  <c r="F148" i="56"/>
  <c r="F192" i="56" s="1"/>
  <c r="G148" i="56"/>
  <c r="G192" i="56" s="1"/>
  <c r="H148" i="56"/>
  <c r="H192" i="56" s="1"/>
  <c r="I148" i="56"/>
  <c r="I192" i="56" s="1"/>
  <c r="J148" i="56"/>
  <c r="J192" i="56" s="1"/>
  <c r="K148" i="56"/>
  <c r="K192" i="56" s="1"/>
  <c r="L148" i="56"/>
  <c r="L192" i="56" s="1"/>
  <c r="F149" i="56"/>
  <c r="G149" i="56"/>
  <c r="G193" i="56" s="1"/>
  <c r="H149" i="56"/>
  <c r="H193" i="56" s="1"/>
  <c r="I149" i="56"/>
  <c r="I193" i="56" s="1"/>
  <c r="J149" i="56"/>
  <c r="J193" i="56" s="1"/>
  <c r="K149" i="56"/>
  <c r="K193" i="56" s="1"/>
  <c r="L149" i="56"/>
  <c r="L193" i="56" s="1"/>
  <c r="F150" i="56"/>
  <c r="F194" i="56" s="1"/>
  <c r="G150" i="56"/>
  <c r="G194" i="56" s="1"/>
  <c r="H150" i="56"/>
  <c r="H194" i="56" s="1"/>
  <c r="I150" i="56"/>
  <c r="I194" i="56" s="1"/>
  <c r="J150" i="56"/>
  <c r="J194" i="56" s="1"/>
  <c r="K150" i="56"/>
  <c r="K194" i="56" s="1"/>
  <c r="L150" i="56"/>
  <c r="L194" i="56" s="1"/>
  <c r="G143" i="56"/>
  <c r="G187" i="56" s="1"/>
  <c r="H143" i="56"/>
  <c r="H187" i="56" s="1"/>
  <c r="I143" i="56"/>
  <c r="I187" i="56" s="1"/>
  <c r="J143" i="56"/>
  <c r="J187" i="56" s="1"/>
  <c r="K143" i="56"/>
  <c r="K187" i="56" s="1"/>
  <c r="L143" i="56"/>
  <c r="L187" i="56" s="1"/>
  <c r="F143" i="56"/>
  <c r="F187" i="56" s="1"/>
  <c r="F183" i="56" l="1"/>
  <c r="H180" i="56"/>
  <c r="F188" i="56"/>
  <c r="M188" i="56" s="1"/>
  <c r="F177" i="56"/>
  <c r="H182" i="56"/>
  <c r="J179" i="56"/>
  <c r="I176" i="56"/>
  <c r="I181" i="56"/>
  <c r="F179" i="56"/>
  <c r="J183" i="56"/>
  <c r="L180" i="56"/>
  <c r="H178" i="56"/>
  <c r="F182" i="56"/>
  <c r="F193" i="56"/>
  <c r="M193" i="56" s="1"/>
  <c r="M189" i="56"/>
  <c r="L176" i="56"/>
  <c r="H176" i="56"/>
  <c r="I183" i="56"/>
  <c r="K182" i="56"/>
  <c r="G182" i="56"/>
  <c r="H181" i="56"/>
  <c r="K180" i="56"/>
  <c r="G180" i="56"/>
  <c r="I179" i="56"/>
  <c r="K178" i="56"/>
  <c r="G178" i="56"/>
  <c r="I177" i="56"/>
  <c r="M187" i="56"/>
  <c r="M194" i="56"/>
  <c r="M190" i="56"/>
  <c r="K176" i="56"/>
  <c r="G176" i="56"/>
  <c r="H183" i="56"/>
  <c r="J182" i="56"/>
  <c r="K181" i="56"/>
  <c r="G181" i="56"/>
  <c r="J180" i="56"/>
  <c r="F180" i="56"/>
  <c r="H179" i="56"/>
  <c r="J178" i="56"/>
  <c r="F178" i="56"/>
  <c r="H177" i="56"/>
  <c r="M192" i="56"/>
  <c r="N192" i="56" s="1"/>
  <c r="J177" i="56"/>
  <c r="M191" i="56"/>
  <c r="J176" i="56"/>
  <c r="K183" i="56"/>
  <c r="G183" i="56"/>
  <c r="I182" i="56"/>
  <c r="J181" i="56"/>
  <c r="F181" i="56"/>
  <c r="I180" i="56"/>
  <c r="K179" i="56"/>
  <c r="G179" i="56"/>
  <c r="I178" i="56"/>
  <c r="K177" i="56"/>
  <c r="G177" i="56"/>
  <c r="V122" i="56"/>
  <c r="V123" i="56"/>
  <c r="V125" i="56"/>
  <c r="V126" i="56"/>
  <c r="V127" i="56"/>
  <c r="V121" i="56"/>
  <c r="U122" i="56"/>
  <c r="U123" i="56"/>
  <c r="U125" i="56"/>
  <c r="U126" i="56"/>
  <c r="U127" i="56"/>
  <c r="U121" i="56"/>
  <c r="V128" i="56"/>
  <c r="U128" i="56"/>
  <c r="V124" i="56"/>
  <c r="U124" i="56"/>
  <c r="N193" i="56" l="1"/>
  <c r="N191" i="56"/>
  <c r="M179" i="56"/>
  <c r="M178" i="56"/>
  <c r="N194" i="56"/>
  <c r="M183" i="56"/>
  <c r="M182" i="56"/>
  <c r="M176" i="56"/>
  <c r="M177" i="56"/>
  <c r="M181" i="56"/>
  <c r="M180" i="56"/>
  <c r="X125" i="56"/>
  <c r="W121" i="56"/>
  <c r="X121" i="56"/>
  <c r="W125" i="56"/>
  <c r="N183" i="56" l="1"/>
  <c r="N182" i="56"/>
  <c r="N180" i="56"/>
  <c r="N181" i="56"/>
  <c r="F28" i="120"/>
  <c r="F29" i="120"/>
  <c r="F27" i="120"/>
  <c r="B24" i="120"/>
  <c r="C24" i="120" s="1"/>
  <c r="D24" i="120" s="1"/>
  <c r="E24" i="120" s="1"/>
  <c r="F24" i="120" s="1"/>
  <c r="G28" i="120" s="1"/>
  <c r="B25" i="120"/>
  <c r="C25" i="120" s="1"/>
  <c r="D25" i="120" s="1"/>
  <c r="E25" i="120" s="1"/>
  <c r="F25" i="120" s="1"/>
  <c r="G29" i="120" s="1"/>
  <c r="B23" i="120"/>
  <c r="C23" i="120" s="1"/>
  <c r="D23" i="120" s="1"/>
  <c r="E23" i="120" s="1"/>
  <c r="F23" i="120" s="1"/>
  <c r="G27" i="120" s="1"/>
  <c r="C28" i="120" l="1"/>
  <c r="B21" i="120" s="1"/>
  <c r="C29" i="120"/>
  <c r="B22" i="120" s="1"/>
  <c r="C27" i="120"/>
  <c r="B20" i="120" s="1"/>
  <c r="U10" i="72" l="1"/>
  <c r="U11" i="72"/>
  <c r="U4" i="72"/>
  <c r="U5" i="72"/>
  <c r="U6" i="72"/>
  <c r="U7" i="72"/>
  <c r="U8" i="72"/>
  <c r="U9" i="72"/>
  <c r="U12" i="72"/>
  <c r="F35" i="71" l="1"/>
  <c r="F36" i="71"/>
  <c r="F37" i="71"/>
  <c r="E38" i="71"/>
  <c r="F38" i="71" s="1"/>
  <c r="E39" i="71"/>
  <c r="F39" i="71"/>
  <c r="O22" i="71" l="1"/>
  <c r="O14" i="71"/>
  <c r="F40" i="71"/>
  <c r="O18" i="71"/>
  <c r="AB17" i="24" l="1"/>
  <c r="AB9" i="24"/>
  <c r="Q24" i="13" l="1"/>
  <c r="S7" i="1"/>
  <c r="S7" i="8" l="1"/>
  <c r="C21" i="120" l="1"/>
  <c r="D21" i="120" s="1"/>
  <c r="E21" i="120" s="1"/>
  <c r="F21" i="120" s="1"/>
  <c r="D28" i="120" s="1"/>
  <c r="C22" i="120"/>
  <c r="D22" i="120" s="1"/>
  <c r="E22" i="120" s="1"/>
  <c r="F22" i="120" s="1"/>
  <c r="D29" i="120" s="1"/>
  <c r="C20" i="120"/>
  <c r="D20" i="120" s="1"/>
  <c r="E20" i="120" s="1"/>
  <c r="F20" i="120" s="1"/>
  <c r="D27" i="120" s="1"/>
  <c r="D10" i="64" l="1"/>
  <c r="E10" i="64"/>
  <c r="F10" i="64"/>
  <c r="G10" i="64"/>
  <c r="H10" i="64"/>
  <c r="C10" i="64"/>
  <c r="I10" i="64" l="1"/>
  <c r="G142" i="22"/>
  <c r="AB36" i="20"/>
  <c r="AB37" i="20"/>
  <c r="AB33" i="20"/>
  <c r="AB34" i="20" s="1"/>
  <c r="AB30" i="20"/>
  <c r="AB31" i="20" s="1"/>
  <c r="AB25" i="20"/>
  <c r="AB26" i="20"/>
  <c r="AB22" i="20"/>
  <c r="AB23" i="20" s="1"/>
  <c r="AB19" i="20"/>
  <c r="AB20" i="20" s="1"/>
  <c r="BH20" i="25"/>
  <c r="BH17" i="25"/>
  <c r="BH9" i="25"/>
  <c r="BH10" i="25" s="1"/>
  <c r="BH6" i="25"/>
  <c r="BH7" i="25" s="1"/>
  <c r="BH3" i="25"/>
  <c r="BH4" i="25" s="1"/>
  <c r="C37" i="21"/>
  <c r="D37" i="21"/>
  <c r="E37" i="21"/>
  <c r="F37" i="21"/>
  <c r="G37" i="21"/>
  <c r="H37" i="21"/>
  <c r="I37" i="21"/>
  <c r="J37" i="21"/>
  <c r="K37" i="21"/>
  <c r="L37" i="21"/>
  <c r="M37" i="21"/>
  <c r="B37" i="21"/>
  <c r="C35" i="21"/>
  <c r="D35" i="21"/>
  <c r="E35" i="21"/>
  <c r="F35" i="21"/>
  <c r="G35" i="21"/>
  <c r="H35" i="21"/>
  <c r="I35" i="21"/>
  <c r="J35" i="21"/>
  <c r="K35" i="21"/>
  <c r="L35" i="21"/>
  <c r="M35" i="21"/>
  <c r="B35" i="21"/>
  <c r="C33" i="21"/>
  <c r="D33" i="21"/>
  <c r="E33" i="21"/>
  <c r="F33" i="21"/>
  <c r="G33" i="21"/>
  <c r="H33" i="21"/>
  <c r="I33" i="21"/>
  <c r="J33" i="21"/>
  <c r="K33" i="21"/>
  <c r="L33" i="21"/>
  <c r="M33" i="21"/>
  <c r="B33" i="21"/>
  <c r="C23" i="21"/>
  <c r="D23" i="21"/>
  <c r="E23" i="21"/>
  <c r="F23" i="21"/>
  <c r="G23" i="21"/>
  <c r="H23" i="21"/>
  <c r="I23" i="21"/>
  <c r="J23" i="21"/>
  <c r="K23" i="21"/>
  <c r="L23" i="21"/>
  <c r="M23" i="21"/>
  <c r="B23" i="21"/>
  <c r="N29" i="21"/>
  <c r="C32" i="21"/>
  <c r="D32" i="21"/>
  <c r="E32" i="21"/>
  <c r="F32" i="21"/>
  <c r="G32" i="21"/>
  <c r="H32" i="21"/>
  <c r="I32" i="21"/>
  <c r="J32" i="21"/>
  <c r="K32" i="21"/>
  <c r="L32" i="21"/>
  <c r="M32" i="21"/>
  <c r="C21" i="21"/>
  <c r="D21" i="21"/>
  <c r="E21" i="21"/>
  <c r="F21" i="21"/>
  <c r="G21" i="21"/>
  <c r="H21" i="21"/>
  <c r="I21" i="21"/>
  <c r="J21" i="21"/>
  <c r="K21" i="21"/>
  <c r="L21" i="21"/>
  <c r="M21" i="21"/>
  <c r="B21" i="21"/>
  <c r="C19" i="21"/>
  <c r="D19" i="21"/>
  <c r="E19" i="21"/>
  <c r="F19" i="21"/>
  <c r="G19" i="21"/>
  <c r="H19" i="21"/>
  <c r="I19" i="21"/>
  <c r="J19" i="21"/>
  <c r="K19" i="21"/>
  <c r="L19" i="21"/>
  <c r="M19" i="21"/>
  <c r="B19" i="21"/>
  <c r="C18" i="21"/>
  <c r="D18" i="21"/>
  <c r="E18" i="21"/>
  <c r="F18" i="21"/>
  <c r="G18" i="21"/>
  <c r="H18" i="21"/>
  <c r="I18" i="21"/>
  <c r="J18" i="21"/>
  <c r="K18" i="21"/>
  <c r="L18" i="21"/>
  <c r="M18" i="21"/>
  <c r="B18" i="21"/>
  <c r="N9" i="21"/>
  <c r="N15" i="21"/>
  <c r="N13" i="21"/>
  <c r="C6" i="21"/>
  <c r="D6" i="21"/>
  <c r="E6" i="21"/>
  <c r="F6" i="21"/>
  <c r="G6" i="21"/>
  <c r="H6" i="21"/>
  <c r="I6" i="21"/>
  <c r="J6" i="21"/>
  <c r="K6" i="21"/>
  <c r="L6" i="21"/>
  <c r="M6" i="21"/>
  <c r="B6" i="21"/>
  <c r="B19" i="121"/>
  <c r="C19" i="121"/>
  <c r="D19" i="121"/>
  <c r="E19" i="121"/>
  <c r="F19" i="121"/>
  <c r="G19" i="121"/>
  <c r="H19" i="121"/>
  <c r="I19" i="121"/>
  <c r="J19" i="121"/>
  <c r="K19" i="121"/>
  <c r="L19" i="121"/>
  <c r="S10" i="121"/>
  <c r="R10" i="121"/>
  <c r="Q10" i="121"/>
  <c r="S9" i="121"/>
  <c r="R9" i="121"/>
  <c r="Q9" i="121"/>
  <c r="S8" i="121"/>
  <c r="R8" i="121"/>
  <c r="Q8" i="121"/>
  <c r="S7" i="121"/>
  <c r="R7" i="121"/>
  <c r="Q7" i="121"/>
  <c r="S6" i="121"/>
  <c r="R6" i="121"/>
  <c r="Q6" i="121"/>
  <c r="U5" i="121"/>
  <c r="T5" i="121"/>
  <c r="S5" i="121"/>
  <c r="R5" i="121"/>
  <c r="Q5" i="121"/>
  <c r="L21" i="121"/>
  <c r="K21" i="121"/>
  <c r="J21" i="121"/>
  <c r="I21" i="121"/>
  <c r="H21" i="121"/>
  <c r="G21" i="121"/>
  <c r="F21" i="121"/>
  <c r="E21" i="121"/>
  <c r="D21" i="121"/>
  <c r="C21" i="121"/>
  <c r="B21" i="121"/>
  <c r="L20" i="121"/>
  <c r="K20" i="121"/>
  <c r="J20" i="121"/>
  <c r="I20" i="121"/>
  <c r="H20" i="121"/>
  <c r="G20" i="121"/>
  <c r="F20" i="121"/>
  <c r="E20" i="121"/>
  <c r="D20" i="121"/>
  <c r="C20" i="121"/>
  <c r="B20" i="121"/>
  <c r="O11" i="121"/>
  <c r="L22" i="121" s="1"/>
  <c r="N11" i="121"/>
  <c r="K22" i="121" s="1"/>
  <c r="I22" i="121"/>
  <c r="G22" i="121"/>
  <c r="F22" i="121"/>
  <c r="E22" i="121"/>
  <c r="D22" i="121"/>
  <c r="C22" i="121"/>
  <c r="B22" i="121"/>
  <c r="S8" i="3"/>
  <c r="R8" i="3"/>
  <c r="Q8" i="3"/>
  <c r="S17" i="34"/>
  <c r="R17" i="34"/>
  <c r="S16" i="34"/>
  <c r="R16" i="34"/>
  <c r="S18" i="34"/>
  <c r="R18" i="34"/>
  <c r="BH12" i="25" l="1"/>
  <c r="AB28" i="20"/>
  <c r="AB39" i="20"/>
  <c r="N37" i="21"/>
  <c r="AF34" i="21" s="1"/>
  <c r="N23" i="21"/>
  <c r="H22" i="121"/>
  <c r="Q11" i="121"/>
  <c r="R11" i="121"/>
  <c r="J22" i="121"/>
  <c r="S11" i="121"/>
  <c r="D33" i="90"/>
  <c r="D36" i="90" s="1"/>
  <c r="D39" i="90" s="1"/>
  <c r="E33" i="90"/>
  <c r="E36" i="90" s="1"/>
  <c r="E39" i="90" s="1"/>
  <c r="F36" i="90"/>
  <c r="F39" i="90" s="1"/>
  <c r="G33" i="90"/>
  <c r="G36" i="90" s="1"/>
  <c r="G39" i="90" s="1"/>
  <c r="H33" i="90"/>
  <c r="H36" i="90" s="1"/>
  <c r="H39" i="90" s="1"/>
  <c r="I36" i="90"/>
  <c r="I39" i="90" s="1"/>
  <c r="D34" i="90"/>
  <c r="D37" i="90" s="1"/>
  <c r="D40" i="90" s="1"/>
  <c r="E34" i="90"/>
  <c r="E37" i="90" s="1"/>
  <c r="E40" i="90" s="1"/>
  <c r="F34" i="90"/>
  <c r="F37" i="90" s="1"/>
  <c r="F40" i="90" s="1"/>
  <c r="G34" i="90"/>
  <c r="G37" i="90" s="1"/>
  <c r="G40" i="90" s="1"/>
  <c r="H34" i="90"/>
  <c r="H37" i="90" s="1"/>
  <c r="H40" i="90" s="1"/>
  <c r="I37" i="90"/>
  <c r="I40" i="90" s="1"/>
  <c r="J12" i="71" l="1"/>
  <c r="J16" i="71" s="1"/>
  <c r="D38" i="112"/>
  <c r="D37" i="112"/>
  <c r="D36" i="112"/>
  <c r="D35" i="112"/>
  <c r="E16" i="115" l="1"/>
  <c r="E92" i="26" l="1"/>
  <c r="X6" i="26"/>
  <c r="X7" i="26"/>
  <c r="X8" i="26"/>
  <c r="AG22" i="107" l="1"/>
  <c r="AD22" i="107"/>
  <c r="AB22" i="107"/>
  <c r="AG21" i="107"/>
  <c r="AD21" i="107"/>
  <c r="AB21" i="107"/>
  <c r="AG20" i="107"/>
  <c r="AD20" i="107"/>
  <c r="AB20" i="107"/>
  <c r="AG19" i="107"/>
  <c r="AD19" i="107"/>
  <c r="AB19" i="107"/>
  <c r="AG18" i="107"/>
  <c r="AD18" i="107"/>
  <c r="AB18" i="107"/>
  <c r="W18" i="107"/>
  <c r="AG17" i="107"/>
  <c r="AD17" i="107"/>
  <c r="AB17" i="107"/>
  <c r="W14" i="107"/>
  <c r="AE10" i="107"/>
  <c r="AB10" i="107"/>
  <c r="AC10" i="107" s="1"/>
  <c r="AE9" i="107"/>
  <c r="AB9" i="107"/>
  <c r="AC9" i="107" s="1"/>
  <c r="AE8" i="107"/>
  <c r="AB8" i="107"/>
  <c r="AC8" i="107" s="1"/>
  <c r="AE7" i="107"/>
  <c r="AB7" i="107"/>
  <c r="AC7" i="107" s="1"/>
  <c r="AE6" i="107"/>
  <c r="AB6" i="107"/>
  <c r="AC6" i="107" s="1"/>
  <c r="AB5" i="107"/>
  <c r="AC5" i="107" s="1"/>
  <c r="AF5" i="107" s="1"/>
  <c r="S77" i="64"/>
  <c r="H19" i="64" s="1"/>
  <c r="S76" i="64"/>
  <c r="H18" i="64" s="1"/>
  <c r="S75" i="64"/>
  <c r="H17" i="64" s="1"/>
  <c r="S74" i="64"/>
  <c r="H16" i="64" s="1"/>
  <c r="S65" i="64"/>
  <c r="G19" i="64" s="1"/>
  <c r="S64" i="64"/>
  <c r="G18" i="64" s="1"/>
  <c r="S63" i="64"/>
  <c r="G17" i="64" s="1"/>
  <c r="S62" i="64"/>
  <c r="G16" i="64" s="1"/>
  <c r="S53" i="64"/>
  <c r="F19" i="64" s="1"/>
  <c r="S52" i="64"/>
  <c r="F18" i="64" s="1"/>
  <c r="S51" i="64"/>
  <c r="F17" i="64" s="1"/>
  <c r="S50" i="64"/>
  <c r="F16" i="64" s="1"/>
  <c r="S41" i="64"/>
  <c r="E19" i="64" s="1"/>
  <c r="S40" i="64"/>
  <c r="E18" i="64" s="1"/>
  <c r="S39" i="64"/>
  <c r="E17" i="64" s="1"/>
  <c r="S38" i="64"/>
  <c r="E16" i="64" s="1"/>
  <c r="S29" i="64"/>
  <c r="D19" i="64" s="1"/>
  <c r="S28" i="64"/>
  <c r="D18" i="64" s="1"/>
  <c r="S27" i="64"/>
  <c r="D17" i="64" s="1"/>
  <c r="S26" i="64"/>
  <c r="D16" i="64" s="1"/>
  <c r="S16" i="64"/>
  <c r="C19" i="64" s="1"/>
  <c r="S15" i="64"/>
  <c r="C18" i="64" s="1"/>
  <c r="S14" i="64"/>
  <c r="C17" i="64" s="1"/>
  <c r="S13" i="64"/>
  <c r="C16" i="64" s="1"/>
  <c r="I8" i="64"/>
  <c r="I7" i="64"/>
  <c r="I6" i="64"/>
  <c r="I5" i="64"/>
  <c r="I4" i="64"/>
  <c r="U16" i="72"/>
  <c r="V16" i="72" s="1"/>
  <c r="U15" i="72"/>
  <c r="V15" i="72" s="1"/>
  <c r="U14" i="72"/>
  <c r="V14" i="72" s="1"/>
  <c r="U13" i="72"/>
  <c r="V13" i="72" s="1"/>
  <c r="V12" i="72"/>
  <c r="V11" i="72"/>
  <c r="V10" i="72"/>
  <c r="V9" i="72"/>
  <c r="V8" i="72"/>
  <c r="V7" i="72"/>
  <c r="V6" i="72"/>
  <c r="V5" i="72"/>
  <c r="V4" i="72"/>
  <c r="V3" i="72"/>
  <c r="G13" i="112"/>
  <c r="F13" i="112"/>
  <c r="E13" i="112"/>
  <c r="D13" i="112"/>
  <c r="C13" i="112"/>
  <c r="B13" i="112"/>
  <c r="M13" i="71"/>
  <c r="L13" i="71"/>
  <c r="K13" i="71"/>
  <c r="J13" i="71"/>
  <c r="J17" i="71" s="1"/>
  <c r="M12" i="71"/>
  <c r="L12" i="71"/>
  <c r="K12" i="71"/>
  <c r="J20" i="71"/>
  <c r="P7" i="71"/>
  <c r="N17" i="71" s="1"/>
  <c r="P6" i="71"/>
  <c r="N21" i="71" s="1"/>
  <c r="P5" i="71"/>
  <c r="N16" i="71" s="1"/>
  <c r="P4" i="71"/>
  <c r="N20" i="71" s="1"/>
  <c r="E56" i="90"/>
  <c r="G56" i="90" s="1"/>
  <c r="E55" i="90"/>
  <c r="F55" i="90" s="1"/>
  <c r="E54" i="90"/>
  <c r="G54" i="90" s="1"/>
  <c r="E53" i="90"/>
  <c r="G53" i="90" s="1"/>
  <c r="E52" i="90"/>
  <c r="G52" i="90" s="1"/>
  <c r="E51" i="90"/>
  <c r="F51" i="90" s="1"/>
  <c r="E50" i="90"/>
  <c r="G50" i="90" s="1"/>
  <c r="E49" i="90"/>
  <c r="E48" i="90"/>
  <c r="G48" i="90" s="1"/>
  <c r="E47" i="90"/>
  <c r="F47" i="90" s="1"/>
  <c r="E46" i="90"/>
  <c r="F46" i="90" s="1"/>
  <c r="E45" i="90"/>
  <c r="J40" i="90"/>
  <c r="J39" i="90"/>
  <c r="S5" i="90"/>
  <c r="T5" i="90" s="1"/>
  <c r="T4" i="90"/>
  <c r="T3" i="90"/>
  <c r="S14" i="34"/>
  <c r="R14" i="34"/>
  <c r="S13" i="34"/>
  <c r="R13" i="34"/>
  <c r="S12" i="34"/>
  <c r="R12" i="34"/>
  <c r="S11" i="34"/>
  <c r="R11" i="34"/>
  <c r="S9" i="34"/>
  <c r="R9" i="34"/>
  <c r="S8" i="34"/>
  <c r="R8" i="34"/>
  <c r="S7" i="34"/>
  <c r="R7" i="34"/>
  <c r="S6" i="34"/>
  <c r="R6" i="34"/>
  <c r="S4" i="34"/>
  <c r="R4" i="34"/>
  <c r="S3" i="34"/>
  <c r="R3" i="34"/>
  <c r="M18" i="14"/>
  <c r="L18" i="14"/>
  <c r="K18" i="14"/>
  <c r="J18" i="14"/>
  <c r="I18" i="14"/>
  <c r="H18" i="14"/>
  <c r="G18" i="14"/>
  <c r="F18" i="14"/>
  <c r="E18" i="14"/>
  <c r="D18" i="14"/>
  <c r="C18" i="14"/>
  <c r="B18" i="14"/>
  <c r="Q13" i="14"/>
  <c r="P13" i="14"/>
  <c r="P14" i="14" s="1"/>
  <c r="M19" i="14" s="1"/>
  <c r="O13" i="14"/>
  <c r="O14" i="14" s="1"/>
  <c r="L19" i="14" s="1"/>
  <c r="N13" i="14"/>
  <c r="N14" i="14" s="1"/>
  <c r="K19" i="14" s="1"/>
  <c r="M13" i="14"/>
  <c r="M14" i="14" s="1"/>
  <c r="L13" i="14"/>
  <c r="L14" i="14" s="1"/>
  <c r="K13" i="14"/>
  <c r="K14" i="14" s="1"/>
  <c r="J13" i="14"/>
  <c r="J14" i="14" s="1"/>
  <c r="I13" i="14"/>
  <c r="I14" i="14" s="1"/>
  <c r="H13" i="14"/>
  <c r="H14" i="14" s="1"/>
  <c r="G13" i="14"/>
  <c r="G14" i="14" s="1"/>
  <c r="G19" i="14" s="1"/>
  <c r="F13" i="14"/>
  <c r="F14" i="14" s="1"/>
  <c r="F19" i="14" s="1"/>
  <c r="E13" i="14"/>
  <c r="E14" i="14" s="1"/>
  <c r="E19" i="14" s="1"/>
  <c r="D13" i="14"/>
  <c r="D14" i="14" s="1"/>
  <c r="D19" i="14" s="1"/>
  <c r="C13" i="14"/>
  <c r="C14" i="14" s="1"/>
  <c r="C19" i="14" s="1"/>
  <c r="B13" i="14"/>
  <c r="B14" i="14" s="1"/>
  <c r="B19" i="14" s="1"/>
  <c r="S12" i="14"/>
  <c r="R12" i="14"/>
  <c r="Q12" i="14"/>
  <c r="S11" i="14"/>
  <c r="R11" i="14"/>
  <c r="Q11" i="14"/>
  <c r="S10" i="14"/>
  <c r="R10" i="14"/>
  <c r="Q10" i="14"/>
  <c r="S5" i="14"/>
  <c r="R5" i="14"/>
  <c r="Q5" i="14"/>
  <c r="O11" i="3"/>
  <c r="L22" i="3" s="1"/>
  <c r="N11" i="3"/>
  <c r="K22" i="3" s="1"/>
  <c r="S10" i="3"/>
  <c r="R10" i="3"/>
  <c r="Q10" i="3"/>
  <c r="S9" i="3"/>
  <c r="R9" i="3"/>
  <c r="Q9" i="3"/>
  <c r="S7" i="3"/>
  <c r="R7" i="3"/>
  <c r="Q7" i="3"/>
  <c r="S6" i="3"/>
  <c r="R6" i="3"/>
  <c r="Q6" i="3"/>
  <c r="U5" i="3"/>
  <c r="T5" i="3"/>
  <c r="S5" i="3"/>
  <c r="R5" i="3"/>
  <c r="Q5" i="3"/>
  <c r="S49" i="8"/>
  <c r="S48" i="8"/>
  <c r="S47" i="8"/>
  <c r="S46" i="8"/>
  <c r="S45" i="8"/>
  <c r="S44" i="8"/>
  <c r="S43" i="8"/>
  <c r="S42" i="8"/>
  <c r="S41" i="8"/>
  <c r="S37" i="8"/>
  <c r="R37" i="8"/>
  <c r="Q37" i="8"/>
  <c r="S36" i="8"/>
  <c r="S35" i="8"/>
  <c r="S34" i="8"/>
  <c r="S33" i="8"/>
  <c r="S32" i="8"/>
  <c r="S31" i="8"/>
  <c r="S30" i="8"/>
  <c r="S29" i="8"/>
  <c r="S28" i="8"/>
  <c r="S27" i="8"/>
  <c r="S26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6" i="8"/>
  <c r="S5" i="8"/>
  <c r="S4" i="8"/>
  <c r="S50" i="7"/>
  <c r="S49" i="7"/>
  <c r="S48" i="7"/>
  <c r="S47" i="7"/>
  <c r="S46" i="7"/>
  <c r="S45" i="7"/>
  <c r="S44" i="7"/>
  <c r="S43" i="7"/>
  <c r="S42" i="7"/>
  <c r="S38" i="7"/>
  <c r="R38" i="7"/>
  <c r="Q38" i="7"/>
  <c r="S37" i="7"/>
  <c r="S36" i="7"/>
  <c r="S35" i="7"/>
  <c r="S34" i="7"/>
  <c r="S33" i="7"/>
  <c r="S32" i="7"/>
  <c r="S31" i="7"/>
  <c r="S30" i="7"/>
  <c r="S29" i="7"/>
  <c r="S28" i="7"/>
  <c r="S27" i="7"/>
  <c r="S22" i="7"/>
  <c r="S21" i="7"/>
  <c r="S20" i="7"/>
  <c r="S19" i="7"/>
  <c r="S18" i="7"/>
  <c r="S17" i="7"/>
  <c r="S49" i="1"/>
  <c r="S48" i="1"/>
  <c r="S47" i="1"/>
  <c r="S46" i="1"/>
  <c r="S45" i="1"/>
  <c r="S44" i="1"/>
  <c r="S43" i="1"/>
  <c r="S42" i="1"/>
  <c r="S41" i="1"/>
  <c r="S37" i="1"/>
  <c r="R37" i="1"/>
  <c r="Q37" i="1"/>
  <c r="S36" i="1"/>
  <c r="S35" i="1"/>
  <c r="S34" i="1"/>
  <c r="S33" i="1"/>
  <c r="S32" i="1"/>
  <c r="S31" i="1"/>
  <c r="S30" i="1"/>
  <c r="S29" i="1"/>
  <c r="S28" i="1"/>
  <c r="S27" i="1"/>
  <c r="S26" i="1"/>
  <c r="B24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R7" i="1"/>
  <c r="S6" i="1"/>
  <c r="R6" i="1"/>
  <c r="S5" i="1"/>
  <c r="S4" i="1"/>
  <c r="O52" i="13"/>
  <c r="N52" i="13"/>
  <c r="M52" i="13"/>
  <c r="L52" i="13"/>
  <c r="K52" i="13"/>
  <c r="J52" i="13"/>
  <c r="I52" i="13"/>
  <c r="H52" i="13"/>
  <c r="G52" i="13"/>
  <c r="F52" i="13"/>
  <c r="E52" i="13"/>
  <c r="D52" i="13"/>
  <c r="S49" i="13"/>
  <c r="R49" i="13"/>
  <c r="Q49" i="13"/>
  <c r="S48" i="13"/>
  <c r="R48" i="13"/>
  <c r="Q48" i="13"/>
  <c r="S47" i="13"/>
  <c r="R47" i="13"/>
  <c r="Q47" i="13"/>
  <c r="S46" i="13"/>
  <c r="R46" i="13"/>
  <c r="Q46" i="13"/>
  <c r="S45" i="13"/>
  <c r="R45" i="13"/>
  <c r="Q45" i="13"/>
  <c r="S44" i="13"/>
  <c r="R44" i="13"/>
  <c r="Q44" i="13"/>
  <c r="S43" i="13"/>
  <c r="S42" i="13"/>
  <c r="S38" i="13"/>
  <c r="R38" i="13"/>
  <c r="Q38" i="13"/>
  <c r="S37" i="13"/>
  <c r="S36" i="13"/>
  <c r="S35" i="13"/>
  <c r="S34" i="13"/>
  <c r="S33" i="13"/>
  <c r="S32" i="13"/>
  <c r="S31" i="13"/>
  <c r="R31" i="13"/>
  <c r="Q31" i="13"/>
  <c r="S30" i="13"/>
  <c r="R30" i="13"/>
  <c r="Q30" i="13"/>
  <c r="S29" i="13"/>
  <c r="R29" i="13"/>
  <c r="Q29" i="13"/>
  <c r="S28" i="13"/>
  <c r="S27" i="13"/>
  <c r="S22" i="13"/>
  <c r="S21" i="13"/>
  <c r="S20" i="13"/>
  <c r="Q20" i="13"/>
  <c r="S19" i="13"/>
  <c r="Q19" i="13"/>
  <c r="S18" i="13"/>
  <c r="S17" i="13"/>
  <c r="Q17" i="13"/>
  <c r="D334" i="26"/>
  <c r="D304" i="26"/>
  <c r="D273" i="26"/>
  <c r="D242" i="26"/>
  <c r="C199" i="26"/>
  <c r="F158" i="26"/>
  <c r="G157" i="26"/>
  <c r="G156" i="26"/>
  <c r="G155" i="26"/>
  <c r="G154" i="26"/>
  <c r="G153" i="26"/>
  <c r="G152" i="26"/>
  <c r="G151" i="26"/>
  <c r="G150" i="26"/>
  <c r="G149" i="26"/>
  <c r="G148" i="26"/>
  <c r="G147" i="26"/>
  <c r="G146" i="26"/>
  <c r="G145" i="26"/>
  <c r="G144" i="26"/>
  <c r="G143" i="26"/>
  <c r="G142" i="26"/>
  <c r="G141" i="26"/>
  <c r="G140" i="26"/>
  <c r="G139" i="26"/>
  <c r="G138" i="26"/>
  <c r="G137" i="26"/>
  <c r="G136" i="26"/>
  <c r="G135" i="26"/>
  <c r="G134" i="26"/>
  <c r="G133" i="26"/>
  <c r="G132" i="26"/>
  <c r="G131" i="26"/>
  <c r="G130" i="26"/>
  <c r="G129" i="26"/>
  <c r="G128" i="26"/>
  <c r="G127" i="26"/>
  <c r="G126" i="26"/>
  <c r="G125" i="26"/>
  <c r="W25" i="26"/>
  <c r="X25" i="26" s="1"/>
  <c r="W24" i="26"/>
  <c r="X24" i="26" s="1"/>
  <c r="W23" i="26"/>
  <c r="X23" i="26" s="1"/>
  <c r="W22" i="26"/>
  <c r="X22" i="26" s="1"/>
  <c r="W21" i="26"/>
  <c r="X21" i="26" s="1"/>
  <c r="W20" i="26"/>
  <c r="X20" i="26" s="1"/>
  <c r="W17" i="26"/>
  <c r="X17" i="26" s="1"/>
  <c r="M16" i="26"/>
  <c r="M23" i="26" s="1"/>
  <c r="M33" i="26" s="1"/>
  <c r="L16" i="26"/>
  <c r="L23" i="26" s="1"/>
  <c r="L33" i="26" s="1"/>
  <c r="K16" i="26"/>
  <c r="K23" i="26" s="1"/>
  <c r="K33" i="26" s="1"/>
  <c r="J16" i="26"/>
  <c r="J23" i="26" s="1"/>
  <c r="J33" i="26" s="1"/>
  <c r="I16" i="26"/>
  <c r="I23" i="26" s="1"/>
  <c r="I33" i="26" s="1"/>
  <c r="H16" i="26"/>
  <c r="H23" i="26" s="1"/>
  <c r="H33" i="26" s="1"/>
  <c r="W15" i="26"/>
  <c r="M22" i="26"/>
  <c r="M32" i="26" s="1"/>
  <c r="L22" i="26"/>
  <c r="L32" i="26" s="1"/>
  <c r="K22" i="26"/>
  <c r="K32" i="26" s="1"/>
  <c r="J22" i="26"/>
  <c r="J32" i="26" s="1"/>
  <c r="I22" i="26"/>
  <c r="I32" i="26" s="1"/>
  <c r="H22" i="26"/>
  <c r="H32" i="26" s="1"/>
  <c r="F22" i="26"/>
  <c r="F32" i="26" s="1"/>
  <c r="W14" i="26"/>
  <c r="X14" i="26" s="1"/>
  <c r="M14" i="26"/>
  <c r="M21" i="26" s="1"/>
  <c r="M30" i="26" s="1"/>
  <c r="L14" i="26"/>
  <c r="L21" i="26" s="1"/>
  <c r="L30" i="26" s="1"/>
  <c r="K14" i="26"/>
  <c r="K21" i="26" s="1"/>
  <c r="K30" i="26" s="1"/>
  <c r="J14" i="26"/>
  <c r="J21" i="26" s="1"/>
  <c r="J30" i="26" s="1"/>
  <c r="I14" i="26"/>
  <c r="I21" i="26" s="1"/>
  <c r="I30" i="26" s="1"/>
  <c r="H14" i="26"/>
  <c r="H21" i="26" s="1"/>
  <c r="H30" i="26" s="1"/>
  <c r="W13" i="26"/>
  <c r="X13" i="26" s="1"/>
  <c r="M13" i="26"/>
  <c r="M20" i="26" s="1"/>
  <c r="M29" i="26" s="1"/>
  <c r="L13" i="26"/>
  <c r="L20" i="26" s="1"/>
  <c r="L29" i="26" s="1"/>
  <c r="K13" i="26"/>
  <c r="K20" i="26" s="1"/>
  <c r="K29" i="26" s="1"/>
  <c r="J13" i="26"/>
  <c r="J20" i="26" s="1"/>
  <c r="J29" i="26" s="1"/>
  <c r="I13" i="26"/>
  <c r="I20" i="26" s="1"/>
  <c r="I29" i="26" s="1"/>
  <c r="H13" i="26"/>
  <c r="H20" i="26" s="1"/>
  <c r="H29" i="26" s="1"/>
  <c r="G13" i="26"/>
  <c r="G20" i="26" s="1"/>
  <c r="G29" i="26" s="1"/>
  <c r="F13" i="26"/>
  <c r="F20" i="26" s="1"/>
  <c r="F29" i="26" s="1"/>
  <c r="E13" i="26"/>
  <c r="E20" i="26" s="1"/>
  <c r="E29" i="26" s="1"/>
  <c r="D13" i="26"/>
  <c r="D20" i="26" s="1"/>
  <c r="D29" i="26" s="1"/>
  <c r="C13" i="26"/>
  <c r="C20" i="26" s="1"/>
  <c r="C29" i="26" s="1"/>
  <c r="B13" i="26"/>
  <c r="B20" i="26" s="1"/>
  <c r="G16" i="26"/>
  <c r="G23" i="26" s="1"/>
  <c r="G33" i="26" s="1"/>
  <c r="G22" i="26"/>
  <c r="G32" i="26" s="1"/>
  <c r="X10" i="26"/>
  <c r="F14" i="26"/>
  <c r="F21" i="26" s="1"/>
  <c r="F30" i="26" s="1"/>
  <c r="X9" i="26"/>
  <c r="F16" i="26"/>
  <c r="F23" i="26" s="1"/>
  <c r="F33" i="26" s="1"/>
  <c r="B16" i="26"/>
  <c r="B23" i="26" s="1"/>
  <c r="B33" i="26" s="1"/>
  <c r="E16" i="26"/>
  <c r="E23" i="26" s="1"/>
  <c r="E33" i="26" s="1"/>
  <c r="E22" i="26"/>
  <c r="E32" i="26" s="1"/>
  <c r="D22" i="26"/>
  <c r="D32" i="26" s="1"/>
  <c r="D16" i="26"/>
  <c r="D23" i="26" s="1"/>
  <c r="D33" i="26" s="1"/>
  <c r="D14" i="26"/>
  <c r="D21" i="26" s="1"/>
  <c r="D30" i="26" s="1"/>
  <c r="G14" i="26"/>
  <c r="E14" i="26"/>
  <c r="E21" i="26" s="1"/>
  <c r="E30" i="26" s="1"/>
  <c r="C14" i="26"/>
  <c r="C21" i="26" s="1"/>
  <c r="C30" i="26" s="1"/>
  <c r="C16" i="26"/>
  <c r="C23" i="26" s="1"/>
  <c r="C33" i="26" s="1"/>
  <c r="C22" i="26"/>
  <c r="C32" i="26" s="1"/>
  <c r="B22" i="26"/>
  <c r="B32" i="26" s="1"/>
  <c r="B14" i="26"/>
  <c r="B21" i="26" s="1"/>
  <c r="B30" i="26" s="1"/>
  <c r="X4" i="26"/>
  <c r="BG20" i="25"/>
  <c r="BF20" i="25"/>
  <c r="BE20" i="25"/>
  <c r="BD20" i="25"/>
  <c r="BC20" i="25"/>
  <c r="BB20" i="25"/>
  <c r="BA20" i="25"/>
  <c r="AZ20" i="25"/>
  <c r="AY20" i="25"/>
  <c r="AW20" i="25"/>
  <c r="AV20" i="25"/>
  <c r="AU20" i="25"/>
  <c r="AT20" i="25"/>
  <c r="AS20" i="25"/>
  <c r="AR20" i="25"/>
  <c r="AQ20" i="25"/>
  <c r="AP20" i="25"/>
  <c r="AO20" i="25"/>
  <c r="AN20" i="25"/>
  <c r="AM20" i="25"/>
  <c r="AL20" i="25"/>
  <c r="AK20" i="25"/>
  <c r="AJ20" i="25"/>
  <c r="AI20" i="25"/>
  <c r="BG17" i="25"/>
  <c r="BF17" i="25"/>
  <c r="BE17" i="25"/>
  <c r="BD17" i="25"/>
  <c r="BC17" i="25"/>
  <c r="BB17" i="25"/>
  <c r="BA17" i="25"/>
  <c r="AZ17" i="25"/>
  <c r="AY17" i="25"/>
  <c r="AX17" i="25"/>
  <c r="AW17" i="25"/>
  <c r="AV17" i="25"/>
  <c r="AU17" i="25"/>
  <c r="AT17" i="25"/>
  <c r="AS17" i="25"/>
  <c r="AR17" i="25"/>
  <c r="AQ17" i="25"/>
  <c r="AP17" i="25"/>
  <c r="AO17" i="25"/>
  <c r="AN17" i="25"/>
  <c r="AM17" i="25"/>
  <c r="AL17" i="25"/>
  <c r="AK17" i="25"/>
  <c r="AJ17" i="25"/>
  <c r="BG9" i="25"/>
  <c r="BG10" i="25" s="1"/>
  <c r="BF9" i="25"/>
  <c r="BF10" i="25" s="1"/>
  <c r="BE9" i="25"/>
  <c r="BE10" i="25" s="1"/>
  <c r="BD9" i="25"/>
  <c r="BD10" i="25" s="1"/>
  <c r="BC9" i="25"/>
  <c r="BC10" i="25" s="1"/>
  <c r="BB9" i="25"/>
  <c r="BB10" i="25" s="1"/>
  <c r="BA9" i="25"/>
  <c r="BA10" i="25" s="1"/>
  <c r="AZ9" i="25"/>
  <c r="AZ10" i="25" s="1"/>
  <c r="AY9" i="25"/>
  <c r="AY10" i="25" s="1"/>
  <c r="AX9" i="25"/>
  <c r="AX10" i="25" s="1"/>
  <c r="AW9" i="25"/>
  <c r="AW10" i="25" s="1"/>
  <c r="AV9" i="25"/>
  <c r="AV10" i="25" s="1"/>
  <c r="AU9" i="25"/>
  <c r="AU10" i="25" s="1"/>
  <c r="AT9" i="25"/>
  <c r="AT10" i="25" s="1"/>
  <c r="AS9" i="25"/>
  <c r="AS10" i="25" s="1"/>
  <c r="AR9" i="25"/>
  <c r="AR10" i="25" s="1"/>
  <c r="AQ9" i="25"/>
  <c r="AQ10" i="25" s="1"/>
  <c r="AP9" i="25"/>
  <c r="AP10" i="25" s="1"/>
  <c r="AO9" i="25"/>
  <c r="AO10" i="25" s="1"/>
  <c r="AN9" i="25"/>
  <c r="AN10" i="25" s="1"/>
  <c r="AM9" i="25"/>
  <c r="AM10" i="25" s="1"/>
  <c r="AL9" i="25"/>
  <c r="AL10" i="25" s="1"/>
  <c r="AK9" i="25"/>
  <c r="AK10" i="25" s="1"/>
  <c r="AJ9" i="25"/>
  <c r="AJ10" i="25" s="1"/>
  <c r="AI9" i="25"/>
  <c r="AI10" i="25" s="1"/>
  <c r="AH9" i="25"/>
  <c r="AH10" i="25" s="1"/>
  <c r="BG6" i="25"/>
  <c r="BG7" i="25" s="1"/>
  <c r="BF6" i="25"/>
  <c r="BF7" i="25" s="1"/>
  <c r="BE6" i="25"/>
  <c r="BE7" i="25" s="1"/>
  <c r="BD6" i="25"/>
  <c r="BD7" i="25" s="1"/>
  <c r="BC6" i="25"/>
  <c r="BC7" i="25" s="1"/>
  <c r="BB6" i="25"/>
  <c r="BB7" i="25" s="1"/>
  <c r="BA6" i="25"/>
  <c r="BA7" i="25" s="1"/>
  <c r="AZ6" i="25"/>
  <c r="AZ7" i="25" s="1"/>
  <c r="AY6" i="25"/>
  <c r="AY7" i="25" s="1"/>
  <c r="AX6" i="25"/>
  <c r="AX7" i="25" s="1"/>
  <c r="AW6" i="25"/>
  <c r="AW7" i="25" s="1"/>
  <c r="AV6" i="25"/>
  <c r="AV7" i="25" s="1"/>
  <c r="AU6" i="25"/>
  <c r="AU7" i="25" s="1"/>
  <c r="AT6" i="25"/>
  <c r="AT7" i="25" s="1"/>
  <c r="AS6" i="25"/>
  <c r="AS7" i="25" s="1"/>
  <c r="AR6" i="25"/>
  <c r="AR7" i="25" s="1"/>
  <c r="AQ6" i="25"/>
  <c r="AQ7" i="25" s="1"/>
  <c r="AP6" i="25"/>
  <c r="AP7" i="25" s="1"/>
  <c r="AO6" i="25"/>
  <c r="AO7" i="25" s="1"/>
  <c r="AN6" i="25"/>
  <c r="AN7" i="25" s="1"/>
  <c r="AM6" i="25"/>
  <c r="AM7" i="25" s="1"/>
  <c r="AL6" i="25"/>
  <c r="AL7" i="25" s="1"/>
  <c r="AK6" i="25"/>
  <c r="AK7" i="25" s="1"/>
  <c r="AJ6" i="25"/>
  <c r="AJ7" i="25" s="1"/>
  <c r="AI6" i="25"/>
  <c r="AI7" i="25" s="1"/>
  <c r="AH6" i="25"/>
  <c r="AH7" i="25" s="1"/>
  <c r="BG3" i="25"/>
  <c r="BG4" i="25" s="1"/>
  <c r="BF3" i="25"/>
  <c r="BF4" i="25" s="1"/>
  <c r="BE3" i="25"/>
  <c r="BE4" i="25" s="1"/>
  <c r="BD3" i="25"/>
  <c r="BD4" i="25" s="1"/>
  <c r="BC3" i="25"/>
  <c r="BC4" i="25" s="1"/>
  <c r="BB3" i="25"/>
  <c r="BB4" i="25" s="1"/>
  <c r="BA3" i="25"/>
  <c r="BA4" i="25" s="1"/>
  <c r="AZ3" i="25"/>
  <c r="AZ4" i="25" s="1"/>
  <c r="AY3" i="25"/>
  <c r="AY4" i="25" s="1"/>
  <c r="AX3" i="25"/>
  <c r="AX4" i="25" s="1"/>
  <c r="AW3" i="25"/>
  <c r="AW4" i="25" s="1"/>
  <c r="AV3" i="25"/>
  <c r="AV4" i="25" s="1"/>
  <c r="AU3" i="25"/>
  <c r="AU4" i="25" s="1"/>
  <c r="AT3" i="25"/>
  <c r="AT4" i="25" s="1"/>
  <c r="AS3" i="25"/>
  <c r="AS4" i="25" s="1"/>
  <c r="AR3" i="25"/>
  <c r="AR4" i="25" s="1"/>
  <c r="AQ3" i="25"/>
  <c r="AQ4" i="25" s="1"/>
  <c r="AP3" i="25"/>
  <c r="AP4" i="25" s="1"/>
  <c r="AO3" i="25"/>
  <c r="AO4" i="25" s="1"/>
  <c r="AN3" i="25"/>
  <c r="AN4" i="25" s="1"/>
  <c r="AM3" i="25"/>
  <c r="AM4" i="25" s="1"/>
  <c r="AL3" i="25"/>
  <c r="AL4" i="25" s="1"/>
  <c r="AK3" i="25"/>
  <c r="AK4" i="25" s="1"/>
  <c r="AJ3" i="25"/>
  <c r="AJ4" i="25" s="1"/>
  <c r="AI3" i="25"/>
  <c r="AI4" i="25" s="1"/>
  <c r="AH3" i="25"/>
  <c r="AH4" i="25" s="1"/>
  <c r="AA36" i="20"/>
  <c r="AA37" i="20" s="1"/>
  <c r="Z36" i="20"/>
  <c r="Z37" i="20" s="1"/>
  <c r="Y36" i="20"/>
  <c r="Y37" i="20" s="1"/>
  <c r="X36" i="20"/>
  <c r="X37" i="20" s="1"/>
  <c r="W36" i="20"/>
  <c r="W37" i="20" s="1"/>
  <c r="V36" i="20"/>
  <c r="V37" i="20" s="1"/>
  <c r="U36" i="20"/>
  <c r="U37" i="20" s="1"/>
  <c r="T36" i="20"/>
  <c r="T37" i="20" s="1"/>
  <c r="S36" i="20"/>
  <c r="S37" i="20" s="1"/>
  <c r="R36" i="20"/>
  <c r="R37" i="20" s="1"/>
  <c r="Q36" i="20"/>
  <c r="Q37" i="20" s="1"/>
  <c r="P36" i="20"/>
  <c r="P37" i="20" s="1"/>
  <c r="O36" i="20"/>
  <c r="O37" i="20" s="1"/>
  <c r="N36" i="20"/>
  <c r="N37" i="20" s="1"/>
  <c r="M36" i="20"/>
  <c r="M37" i="20" s="1"/>
  <c r="L36" i="20"/>
  <c r="L37" i="20" s="1"/>
  <c r="K36" i="20"/>
  <c r="K37" i="20" s="1"/>
  <c r="J36" i="20"/>
  <c r="J37" i="20" s="1"/>
  <c r="I36" i="20"/>
  <c r="I37" i="20" s="1"/>
  <c r="H36" i="20"/>
  <c r="H37" i="20" s="1"/>
  <c r="G36" i="20"/>
  <c r="G37" i="20" s="1"/>
  <c r="F36" i="20"/>
  <c r="F37" i="20" s="1"/>
  <c r="E36" i="20"/>
  <c r="E37" i="20" s="1"/>
  <c r="D36" i="20"/>
  <c r="D37" i="20" s="1"/>
  <c r="C36" i="20"/>
  <c r="C37" i="20" s="1"/>
  <c r="AA33" i="20"/>
  <c r="AA34" i="20" s="1"/>
  <c r="Z33" i="20"/>
  <c r="Z34" i="20" s="1"/>
  <c r="Y33" i="20"/>
  <c r="Y34" i="20" s="1"/>
  <c r="X33" i="20"/>
  <c r="X34" i="20" s="1"/>
  <c r="W33" i="20"/>
  <c r="W34" i="20" s="1"/>
  <c r="V33" i="20"/>
  <c r="V34" i="20" s="1"/>
  <c r="U33" i="20"/>
  <c r="U34" i="20" s="1"/>
  <c r="T33" i="20"/>
  <c r="T34" i="20" s="1"/>
  <c r="S33" i="20"/>
  <c r="S34" i="20" s="1"/>
  <c r="R33" i="20"/>
  <c r="R34" i="20" s="1"/>
  <c r="Q33" i="20"/>
  <c r="Q34" i="20" s="1"/>
  <c r="P33" i="20"/>
  <c r="P34" i="20" s="1"/>
  <c r="O33" i="20"/>
  <c r="O34" i="20" s="1"/>
  <c r="N33" i="20"/>
  <c r="N34" i="20" s="1"/>
  <c r="M33" i="20"/>
  <c r="M34" i="20" s="1"/>
  <c r="L33" i="20"/>
  <c r="L34" i="20" s="1"/>
  <c r="K33" i="20"/>
  <c r="K34" i="20" s="1"/>
  <c r="J33" i="20"/>
  <c r="J34" i="20" s="1"/>
  <c r="I33" i="20"/>
  <c r="I34" i="20" s="1"/>
  <c r="H33" i="20"/>
  <c r="H34" i="20" s="1"/>
  <c r="G33" i="20"/>
  <c r="G34" i="20" s="1"/>
  <c r="F33" i="20"/>
  <c r="F34" i="20" s="1"/>
  <c r="E33" i="20"/>
  <c r="E34" i="20" s="1"/>
  <c r="D33" i="20"/>
  <c r="D34" i="20" s="1"/>
  <c r="C33" i="20"/>
  <c r="C34" i="20" s="1"/>
  <c r="AA30" i="20"/>
  <c r="AA31" i="20" s="1"/>
  <c r="Z30" i="20"/>
  <c r="Z31" i="20" s="1"/>
  <c r="Y30" i="20"/>
  <c r="Y31" i="20" s="1"/>
  <c r="X30" i="20"/>
  <c r="X31" i="20" s="1"/>
  <c r="W30" i="20"/>
  <c r="W31" i="20" s="1"/>
  <c r="V30" i="20"/>
  <c r="V31" i="20" s="1"/>
  <c r="U30" i="20"/>
  <c r="U31" i="20" s="1"/>
  <c r="T30" i="20"/>
  <c r="T31" i="20" s="1"/>
  <c r="S30" i="20"/>
  <c r="S31" i="20" s="1"/>
  <c r="R30" i="20"/>
  <c r="R31" i="20" s="1"/>
  <c r="Q30" i="20"/>
  <c r="Q31" i="20" s="1"/>
  <c r="P30" i="20"/>
  <c r="P31" i="20" s="1"/>
  <c r="O30" i="20"/>
  <c r="O31" i="20" s="1"/>
  <c r="N30" i="20"/>
  <c r="N31" i="20" s="1"/>
  <c r="M30" i="20"/>
  <c r="M31" i="20" s="1"/>
  <c r="L30" i="20"/>
  <c r="L31" i="20" s="1"/>
  <c r="K30" i="20"/>
  <c r="K31" i="20" s="1"/>
  <c r="J30" i="20"/>
  <c r="J31" i="20" s="1"/>
  <c r="I30" i="20"/>
  <c r="I31" i="20" s="1"/>
  <c r="H30" i="20"/>
  <c r="H31" i="20" s="1"/>
  <c r="G30" i="20"/>
  <c r="G31" i="20" s="1"/>
  <c r="F30" i="20"/>
  <c r="F31" i="20" s="1"/>
  <c r="E30" i="20"/>
  <c r="E31" i="20" s="1"/>
  <c r="D30" i="20"/>
  <c r="D31" i="20" s="1"/>
  <c r="C30" i="20"/>
  <c r="C31" i="20" s="1"/>
  <c r="AA25" i="20"/>
  <c r="AA26" i="20" s="1"/>
  <c r="Z25" i="20"/>
  <c r="Z26" i="20" s="1"/>
  <c r="Y25" i="20"/>
  <c r="Y26" i="20" s="1"/>
  <c r="X25" i="20"/>
  <c r="X26" i="20" s="1"/>
  <c r="W25" i="20"/>
  <c r="W26" i="20" s="1"/>
  <c r="V25" i="20"/>
  <c r="V26" i="20" s="1"/>
  <c r="U25" i="20"/>
  <c r="U26" i="20" s="1"/>
  <c r="T25" i="20"/>
  <c r="T26" i="20" s="1"/>
  <c r="S25" i="20"/>
  <c r="S26" i="20" s="1"/>
  <c r="R25" i="20"/>
  <c r="R26" i="20" s="1"/>
  <c r="Q25" i="20"/>
  <c r="Q26" i="20" s="1"/>
  <c r="P25" i="20"/>
  <c r="P26" i="20" s="1"/>
  <c r="O25" i="20"/>
  <c r="O26" i="20" s="1"/>
  <c r="N25" i="20"/>
  <c r="N26" i="20" s="1"/>
  <c r="M25" i="20"/>
  <c r="M26" i="20" s="1"/>
  <c r="L25" i="20"/>
  <c r="L26" i="20" s="1"/>
  <c r="K25" i="20"/>
  <c r="K26" i="20" s="1"/>
  <c r="J25" i="20"/>
  <c r="J26" i="20" s="1"/>
  <c r="I25" i="20"/>
  <c r="I26" i="20" s="1"/>
  <c r="H25" i="20"/>
  <c r="H26" i="20" s="1"/>
  <c r="G25" i="20"/>
  <c r="G26" i="20" s="1"/>
  <c r="F25" i="20"/>
  <c r="F26" i="20" s="1"/>
  <c r="E25" i="20"/>
  <c r="E26" i="20" s="1"/>
  <c r="D25" i="20"/>
  <c r="D26" i="20" s="1"/>
  <c r="C25" i="20"/>
  <c r="C26" i="20" s="1"/>
  <c r="B25" i="20"/>
  <c r="B26" i="20" s="1"/>
  <c r="AA22" i="20"/>
  <c r="AA23" i="20" s="1"/>
  <c r="Z22" i="20"/>
  <c r="Z23" i="20" s="1"/>
  <c r="Y22" i="20"/>
  <c r="Y23" i="20" s="1"/>
  <c r="X22" i="20"/>
  <c r="X23" i="20" s="1"/>
  <c r="W22" i="20"/>
  <c r="W23" i="20" s="1"/>
  <c r="V22" i="20"/>
  <c r="V23" i="20" s="1"/>
  <c r="U22" i="20"/>
  <c r="U23" i="20" s="1"/>
  <c r="T22" i="20"/>
  <c r="T23" i="20" s="1"/>
  <c r="S22" i="20"/>
  <c r="S23" i="20" s="1"/>
  <c r="R22" i="20"/>
  <c r="R23" i="20" s="1"/>
  <c r="Q22" i="20"/>
  <c r="Q23" i="20" s="1"/>
  <c r="P22" i="20"/>
  <c r="P23" i="20" s="1"/>
  <c r="O22" i="20"/>
  <c r="O23" i="20" s="1"/>
  <c r="N22" i="20"/>
  <c r="N23" i="20" s="1"/>
  <c r="M22" i="20"/>
  <c r="M23" i="20" s="1"/>
  <c r="L22" i="20"/>
  <c r="L23" i="20" s="1"/>
  <c r="K22" i="20"/>
  <c r="K23" i="20" s="1"/>
  <c r="J22" i="20"/>
  <c r="J23" i="20" s="1"/>
  <c r="I22" i="20"/>
  <c r="I23" i="20" s="1"/>
  <c r="H22" i="20"/>
  <c r="H23" i="20" s="1"/>
  <c r="G22" i="20"/>
  <c r="G23" i="20" s="1"/>
  <c r="F22" i="20"/>
  <c r="F23" i="20" s="1"/>
  <c r="E22" i="20"/>
  <c r="E23" i="20" s="1"/>
  <c r="D22" i="20"/>
  <c r="D23" i="20" s="1"/>
  <c r="C22" i="20"/>
  <c r="C23" i="20" s="1"/>
  <c r="B22" i="20"/>
  <c r="B23" i="20" s="1"/>
  <c r="AA19" i="20"/>
  <c r="AA20" i="20" s="1"/>
  <c r="Z19" i="20"/>
  <c r="Z20" i="20" s="1"/>
  <c r="Y19" i="20"/>
  <c r="Y20" i="20" s="1"/>
  <c r="X19" i="20"/>
  <c r="X20" i="20" s="1"/>
  <c r="W19" i="20"/>
  <c r="W20" i="20" s="1"/>
  <c r="V19" i="20"/>
  <c r="V20" i="20" s="1"/>
  <c r="U19" i="20"/>
  <c r="U20" i="20" s="1"/>
  <c r="T19" i="20"/>
  <c r="T20" i="20" s="1"/>
  <c r="S19" i="20"/>
  <c r="S20" i="20" s="1"/>
  <c r="R19" i="20"/>
  <c r="R20" i="20" s="1"/>
  <c r="Q19" i="20"/>
  <c r="Q20" i="20" s="1"/>
  <c r="P19" i="20"/>
  <c r="P20" i="20" s="1"/>
  <c r="O19" i="20"/>
  <c r="O20" i="20" s="1"/>
  <c r="N19" i="20"/>
  <c r="N20" i="20" s="1"/>
  <c r="M19" i="20"/>
  <c r="M20" i="20" s="1"/>
  <c r="L19" i="20"/>
  <c r="L20" i="20" s="1"/>
  <c r="K19" i="20"/>
  <c r="K20" i="20" s="1"/>
  <c r="J19" i="20"/>
  <c r="J20" i="20" s="1"/>
  <c r="I19" i="20"/>
  <c r="I20" i="20" s="1"/>
  <c r="H19" i="20"/>
  <c r="H20" i="20" s="1"/>
  <c r="G19" i="20"/>
  <c r="G20" i="20" s="1"/>
  <c r="F19" i="20"/>
  <c r="F20" i="20" s="1"/>
  <c r="E19" i="20"/>
  <c r="E20" i="20" s="1"/>
  <c r="D19" i="20"/>
  <c r="D20" i="20" s="1"/>
  <c r="C19" i="20"/>
  <c r="C20" i="20" s="1"/>
  <c r="B19" i="20"/>
  <c r="B20" i="20" s="1"/>
  <c r="N35" i="21"/>
  <c r="AF32" i="21" s="1"/>
  <c r="L34" i="21"/>
  <c r="L36" i="21" s="1"/>
  <c r="K34" i="21"/>
  <c r="K36" i="21" s="1"/>
  <c r="J34" i="21"/>
  <c r="H34" i="21"/>
  <c r="H36" i="21" s="1"/>
  <c r="G34" i="21"/>
  <c r="F34" i="21"/>
  <c r="D34" i="21"/>
  <c r="D36" i="21" s="1"/>
  <c r="C34" i="21"/>
  <c r="C36" i="21" s="1"/>
  <c r="B34" i="21"/>
  <c r="B36" i="21" s="1"/>
  <c r="N28" i="21"/>
  <c r="N27" i="21"/>
  <c r="N26" i="21"/>
  <c r="N21" i="21"/>
  <c r="M20" i="21"/>
  <c r="M22" i="21" s="1"/>
  <c r="L20" i="21"/>
  <c r="K20" i="21"/>
  <c r="K22" i="21" s="1"/>
  <c r="J20" i="21"/>
  <c r="I20" i="21"/>
  <c r="I22" i="21" s="1"/>
  <c r="H20" i="21"/>
  <c r="G20" i="21"/>
  <c r="F20" i="21"/>
  <c r="E20" i="21"/>
  <c r="D20" i="21"/>
  <c r="C20" i="21"/>
  <c r="C22" i="21" s="1"/>
  <c r="B20" i="21"/>
  <c r="N18" i="21"/>
  <c r="N14" i="21"/>
  <c r="N12" i="21"/>
  <c r="M8" i="21"/>
  <c r="L8" i="21"/>
  <c r="K8" i="21"/>
  <c r="J8" i="21"/>
  <c r="I8" i="21"/>
  <c r="H8" i="21"/>
  <c r="G8" i="21"/>
  <c r="F8" i="21"/>
  <c r="E8" i="21"/>
  <c r="D8" i="21"/>
  <c r="C8" i="21"/>
  <c r="B8" i="21"/>
  <c r="N7" i="21"/>
  <c r="N5" i="21"/>
  <c r="N4" i="21"/>
  <c r="C130" i="22"/>
  <c r="C129" i="22"/>
  <c r="C128" i="22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G111" i="22"/>
  <c r="G141" i="22" s="1"/>
  <c r="G110" i="22"/>
  <c r="G140" i="22" s="1"/>
  <c r="G109" i="22"/>
  <c r="G139" i="22" s="1"/>
  <c r="G108" i="22"/>
  <c r="G138" i="22" s="1"/>
  <c r="G107" i="22"/>
  <c r="G137" i="22" s="1"/>
  <c r="G106" i="22"/>
  <c r="G136" i="22" s="1"/>
  <c r="G105" i="22"/>
  <c r="G135" i="22" s="1"/>
  <c r="G104" i="22"/>
  <c r="G134" i="22" s="1"/>
  <c r="G103" i="22"/>
  <c r="G133" i="22" s="1"/>
  <c r="G102" i="22"/>
  <c r="G132" i="22" s="1"/>
  <c r="G101" i="22"/>
  <c r="G131" i="22" s="1"/>
  <c r="G100" i="22"/>
  <c r="G130" i="22" s="1"/>
  <c r="G99" i="22"/>
  <c r="G129" i="22" s="1"/>
  <c r="G98" i="22"/>
  <c r="G128" i="22" s="1"/>
  <c r="G97" i="22"/>
  <c r="G127" i="22" s="1"/>
  <c r="G96" i="22"/>
  <c r="G126" i="22" s="1"/>
  <c r="G95" i="22"/>
  <c r="G125" i="22" s="1"/>
  <c r="G94" i="22"/>
  <c r="G124" i="22" s="1"/>
  <c r="G93" i="22"/>
  <c r="G123" i="22" s="1"/>
  <c r="G92" i="22"/>
  <c r="G122" i="22" s="1"/>
  <c r="G91" i="22"/>
  <c r="G121" i="22" s="1"/>
  <c r="G90" i="22"/>
  <c r="G120" i="22" s="1"/>
  <c r="G89" i="22"/>
  <c r="G119" i="22" s="1"/>
  <c r="G88" i="22"/>
  <c r="G118" i="22" s="1"/>
  <c r="G87" i="22"/>
  <c r="G117" i="22" s="1"/>
  <c r="G86" i="22"/>
  <c r="G116" i="22" s="1"/>
  <c r="C133" i="23"/>
  <c r="G132" i="23" s="1"/>
  <c r="C132" i="23"/>
  <c r="G131" i="23" s="1"/>
  <c r="C131" i="23"/>
  <c r="G130" i="23" s="1"/>
  <c r="C130" i="23"/>
  <c r="G129" i="23" s="1"/>
  <c r="C129" i="23"/>
  <c r="G128" i="23" s="1"/>
  <c r="C128" i="23"/>
  <c r="G127" i="23" s="1"/>
  <c r="C127" i="23"/>
  <c r="G126" i="23" s="1"/>
  <c r="C126" i="23"/>
  <c r="G125" i="23" s="1"/>
  <c r="C125" i="23"/>
  <c r="G124" i="23" s="1"/>
  <c r="C124" i="23"/>
  <c r="G123" i="23" s="1"/>
  <c r="C123" i="23"/>
  <c r="G122" i="23" s="1"/>
  <c r="C122" i="23"/>
  <c r="G121" i="23" s="1"/>
  <c r="C121" i="23"/>
  <c r="G120" i="23" s="1"/>
  <c r="C120" i="23"/>
  <c r="G119" i="23" s="1"/>
  <c r="C119" i="23"/>
  <c r="G118" i="23" s="1"/>
  <c r="C118" i="23"/>
  <c r="G117" i="23" s="1"/>
  <c r="C117" i="23"/>
  <c r="G116" i="23" s="1"/>
  <c r="C116" i="23"/>
  <c r="G115" i="23" s="1"/>
  <c r="C115" i="23"/>
  <c r="G114" i="23" s="1"/>
  <c r="C114" i="23"/>
  <c r="G113" i="23" s="1"/>
  <c r="C113" i="23"/>
  <c r="G112" i="23" s="1"/>
  <c r="C112" i="23"/>
  <c r="G111" i="23" s="1"/>
  <c r="C111" i="23"/>
  <c r="G110" i="23" s="1"/>
  <c r="C110" i="23"/>
  <c r="G109" i="23" s="1"/>
  <c r="C109" i="23"/>
  <c r="G108" i="23" s="1"/>
  <c r="C92" i="23"/>
  <c r="C91" i="23"/>
  <c r="C90" i="23"/>
  <c r="C89" i="23"/>
  <c r="C88" i="23"/>
  <c r="C87" i="23"/>
  <c r="C86" i="23"/>
  <c r="C85" i="23"/>
  <c r="C84" i="23"/>
  <c r="C83" i="23"/>
  <c r="C82" i="23"/>
  <c r="C81" i="23"/>
  <c r="AA21" i="24"/>
  <c r="Z21" i="24"/>
  <c r="Y21" i="24"/>
  <c r="X21" i="24"/>
  <c r="W21" i="24"/>
  <c r="V21" i="24"/>
  <c r="U21" i="24"/>
  <c r="T21" i="24"/>
  <c r="S21" i="24"/>
  <c r="Q21" i="24"/>
  <c r="P21" i="24"/>
  <c r="O21" i="24"/>
  <c r="N21" i="24"/>
  <c r="K21" i="24"/>
  <c r="J21" i="24"/>
  <c r="I21" i="24"/>
  <c r="H21" i="24"/>
  <c r="G21" i="24"/>
  <c r="F21" i="24"/>
  <c r="E21" i="24"/>
  <c r="D21" i="24"/>
  <c r="C21" i="24"/>
  <c r="R20" i="24"/>
  <c r="R19" i="24"/>
  <c r="R18" i="24"/>
  <c r="AA17" i="24"/>
  <c r="Z17" i="24"/>
  <c r="Y17" i="24"/>
  <c r="X17" i="24"/>
  <c r="W17" i="24"/>
  <c r="V17" i="24"/>
  <c r="U17" i="24"/>
  <c r="T17" i="24"/>
  <c r="S17" i="24"/>
  <c r="Q17" i="24"/>
  <c r="P17" i="24"/>
  <c r="O17" i="24"/>
  <c r="N17" i="24"/>
  <c r="K17" i="24"/>
  <c r="J17" i="24"/>
  <c r="I17" i="24"/>
  <c r="H17" i="24"/>
  <c r="G17" i="24"/>
  <c r="F17" i="24"/>
  <c r="E17" i="24"/>
  <c r="D17" i="24"/>
  <c r="C17" i="24"/>
  <c r="R16" i="24"/>
  <c r="R15" i="24"/>
  <c r="R14" i="24"/>
  <c r="AA13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K13" i="24"/>
  <c r="J13" i="24"/>
  <c r="I13" i="24"/>
  <c r="H13" i="24"/>
  <c r="G13" i="24"/>
  <c r="F13" i="24"/>
  <c r="E13" i="24"/>
  <c r="D13" i="24"/>
  <c r="C13" i="24"/>
  <c r="AA9" i="24"/>
  <c r="Z9" i="24"/>
  <c r="Y9" i="24"/>
  <c r="X9" i="24"/>
  <c r="Z6" i="24"/>
  <c r="Y6" i="24"/>
  <c r="X6" i="24"/>
  <c r="W6" i="24"/>
  <c r="V6" i="24"/>
  <c r="U6" i="24"/>
  <c r="T6" i="24"/>
  <c r="S6" i="24"/>
  <c r="R6" i="24"/>
  <c r="Q6" i="24"/>
  <c r="P6" i="24"/>
  <c r="O6" i="24"/>
  <c r="N6" i="24"/>
  <c r="M6" i="24"/>
  <c r="L6" i="24"/>
  <c r="K6" i="24"/>
  <c r="J6" i="24"/>
  <c r="I6" i="24"/>
  <c r="H6" i="24"/>
  <c r="G6" i="24"/>
  <c r="F6" i="24"/>
  <c r="E6" i="24"/>
  <c r="D6" i="24"/>
  <c r="C6" i="24"/>
  <c r="Q33" i="26" l="1"/>
  <c r="G22" i="21"/>
  <c r="Q29" i="26"/>
  <c r="G36" i="21"/>
  <c r="AH12" i="25"/>
  <c r="AL12" i="25"/>
  <c r="AQ12" i="25"/>
  <c r="AU12" i="25"/>
  <c r="BC12" i="25"/>
  <c r="BG12" i="25"/>
  <c r="AM12" i="25"/>
  <c r="S28" i="20"/>
  <c r="C39" i="20"/>
  <c r="K39" i="20"/>
  <c r="S39" i="20"/>
  <c r="AA39" i="20"/>
  <c r="D39" i="20"/>
  <c r="H39" i="20"/>
  <c r="L39" i="20"/>
  <c r="P39" i="20"/>
  <c r="T39" i="20"/>
  <c r="X39" i="20"/>
  <c r="O28" i="20"/>
  <c r="W28" i="20"/>
  <c r="AA28" i="20"/>
  <c r="E28" i="20"/>
  <c r="M28" i="20"/>
  <c r="U28" i="20"/>
  <c r="C28" i="20"/>
  <c r="G28" i="20"/>
  <c r="K28" i="20"/>
  <c r="Q28" i="20"/>
  <c r="D28" i="20"/>
  <c r="H28" i="20"/>
  <c r="L28" i="20"/>
  <c r="P28" i="20"/>
  <c r="T28" i="20"/>
  <c r="X28" i="20"/>
  <c r="E39" i="20"/>
  <c r="M39" i="20"/>
  <c r="U39" i="20"/>
  <c r="Y28" i="20"/>
  <c r="F39" i="20"/>
  <c r="J39" i="20"/>
  <c r="N39" i="20"/>
  <c r="R39" i="20"/>
  <c r="V39" i="20"/>
  <c r="Z39" i="20"/>
  <c r="G39" i="20"/>
  <c r="O39" i="20"/>
  <c r="W39" i="20"/>
  <c r="I28" i="20"/>
  <c r="AF35" i="21"/>
  <c r="AG35" i="21"/>
  <c r="B28" i="20"/>
  <c r="F28" i="20"/>
  <c r="J28" i="20"/>
  <c r="N28" i="20"/>
  <c r="R28" i="20"/>
  <c r="V28" i="20"/>
  <c r="Z28" i="20"/>
  <c r="I39" i="20"/>
  <c r="Q39" i="20"/>
  <c r="Y39" i="20"/>
  <c r="W16" i="107"/>
  <c r="AI12" i="25"/>
  <c r="G158" i="26"/>
  <c r="AY12" i="25"/>
  <c r="AK12" i="25"/>
  <c r="AO12" i="25"/>
  <c r="AS12" i="25"/>
  <c r="AW12" i="25"/>
  <c r="BA12" i="25"/>
  <c r="BE12" i="25"/>
  <c r="S25" i="13"/>
  <c r="N6" i="21"/>
  <c r="E22" i="21"/>
  <c r="AG16" i="24"/>
  <c r="AG19" i="24"/>
  <c r="AF19" i="24"/>
  <c r="AG20" i="24"/>
  <c r="AF20" i="24"/>
  <c r="AG14" i="24"/>
  <c r="AG6" i="24"/>
  <c r="AF6" i="24"/>
  <c r="AF9" i="24"/>
  <c r="AG9" i="24"/>
  <c r="AF13" i="24"/>
  <c r="AG13" i="24"/>
  <c r="AG15" i="24"/>
  <c r="AF15" i="24"/>
  <c r="AF18" i="24"/>
  <c r="AG18" i="24"/>
  <c r="AP12" i="25"/>
  <c r="AT12" i="25"/>
  <c r="AX12" i="25"/>
  <c r="BB12" i="25"/>
  <c r="BF12" i="25"/>
  <c r="AJ12" i="25"/>
  <c r="AN12" i="25"/>
  <c r="AR12" i="25"/>
  <c r="AV12" i="25"/>
  <c r="AZ12" i="25"/>
  <c r="BD12" i="25"/>
  <c r="R39" i="13"/>
  <c r="R40" i="13"/>
  <c r="R51" i="13"/>
  <c r="R52" i="13"/>
  <c r="S40" i="13"/>
  <c r="S39" i="13"/>
  <c r="S51" i="13"/>
  <c r="S52" i="13"/>
  <c r="Q39" i="13"/>
  <c r="Q40" i="13"/>
  <c r="Q51" i="13"/>
  <c r="Q52" i="13"/>
  <c r="G51" i="90"/>
  <c r="K31" i="26"/>
  <c r="AF7" i="107"/>
  <c r="AE21" i="107"/>
  <c r="AK19" i="107" s="1"/>
  <c r="AH20" i="107"/>
  <c r="AL18" i="107" s="1"/>
  <c r="AE18" i="107"/>
  <c r="AK16" i="107" s="1"/>
  <c r="AH17" i="107"/>
  <c r="AL15" i="107" s="1"/>
  <c r="N33" i="26"/>
  <c r="F31" i="26"/>
  <c r="K20" i="71"/>
  <c r="K16" i="71"/>
  <c r="K17" i="71"/>
  <c r="K21" i="71"/>
  <c r="V17" i="72"/>
  <c r="S50" i="8"/>
  <c r="S51" i="8"/>
  <c r="S38" i="8"/>
  <c r="S39" i="8"/>
  <c r="S38" i="1"/>
  <c r="S24" i="8"/>
  <c r="S23" i="8"/>
  <c r="S52" i="7"/>
  <c r="S51" i="7"/>
  <c r="S39" i="7"/>
  <c r="S40" i="7"/>
  <c r="S25" i="7"/>
  <c r="S24" i="7"/>
  <c r="S51" i="1"/>
  <c r="S50" i="1"/>
  <c r="S39" i="1"/>
  <c r="S24" i="1"/>
  <c r="S23" i="1"/>
  <c r="R38" i="8"/>
  <c r="Q38" i="8"/>
  <c r="Q24" i="8"/>
  <c r="Q23" i="8"/>
  <c r="R24" i="8"/>
  <c r="R23" i="8"/>
  <c r="R51" i="7"/>
  <c r="Q51" i="7"/>
  <c r="R39" i="7"/>
  <c r="R25" i="7"/>
  <c r="Q24" i="7"/>
  <c r="R24" i="7"/>
  <c r="Q25" i="7"/>
  <c r="R50" i="1"/>
  <c r="Q24" i="1"/>
  <c r="R24" i="1"/>
  <c r="R23" i="1"/>
  <c r="Q23" i="1"/>
  <c r="R50" i="8"/>
  <c r="R51" i="8"/>
  <c r="Q51" i="8"/>
  <c r="Q50" i="8"/>
  <c r="Q39" i="8"/>
  <c r="R39" i="8"/>
  <c r="Q52" i="7"/>
  <c r="R52" i="7"/>
  <c r="R40" i="7"/>
  <c r="Q40" i="7"/>
  <c r="Q39" i="7"/>
  <c r="R51" i="1"/>
  <c r="Q50" i="1"/>
  <c r="Q51" i="1"/>
  <c r="R39" i="1"/>
  <c r="Q38" i="1"/>
  <c r="Q39" i="1"/>
  <c r="R38" i="1"/>
  <c r="Q25" i="13"/>
  <c r="J36" i="21"/>
  <c r="F36" i="21"/>
  <c r="H22" i="21"/>
  <c r="D22" i="21"/>
  <c r="L22" i="21"/>
  <c r="B22" i="21"/>
  <c r="F22" i="21"/>
  <c r="J22" i="21"/>
  <c r="N8" i="21"/>
  <c r="E34" i="21"/>
  <c r="I34" i="21"/>
  <c r="I36" i="21" s="1"/>
  <c r="M34" i="21"/>
  <c r="M36" i="21" s="1"/>
  <c r="N33" i="21"/>
  <c r="AF30" i="21" s="1"/>
  <c r="N32" i="21"/>
  <c r="AF29" i="21" s="1"/>
  <c r="N19" i="21"/>
  <c r="J19" i="14"/>
  <c r="I19" i="14"/>
  <c r="H19" i="14"/>
  <c r="R13" i="14"/>
  <c r="S11" i="3"/>
  <c r="Q11" i="3"/>
  <c r="R11" i="3"/>
  <c r="R10" i="34"/>
  <c r="S10" i="34"/>
  <c r="F50" i="90"/>
  <c r="G55" i="90"/>
  <c r="F54" i="90"/>
  <c r="G47" i="90"/>
  <c r="E60" i="90"/>
  <c r="G46" i="90"/>
  <c r="T6" i="90"/>
  <c r="F45" i="90"/>
  <c r="F53" i="90"/>
  <c r="E61" i="90"/>
  <c r="G45" i="90"/>
  <c r="F48" i="90"/>
  <c r="F52" i="90"/>
  <c r="F56" i="90"/>
  <c r="M21" i="71"/>
  <c r="M17" i="71"/>
  <c r="M20" i="71"/>
  <c r="M16" i="71"/>
  <c r="L21" i="71"/>
  <c r="L17" i="71"/>
  <c r="L16" i="71"/>
  <c r="L20" i="71"/>
  <c r="J21" i="71"/>
  <c r="O12" i="71"/>
  <c r="O13" i="71"/>
  <c r="J31" i="26"/>
  <c r="R21" i="24"/>
  <c r="AF21" i="24" s="1"/>
  <c r="R17" i="24"/>
  <c r="AF17" i="24" s="1"/>
  <c r="X26" i="26"/>
  <c r="C31" i="26"/>
  <c r="H31" i="26"/>
  <c r="L31" i="26"/>
  <c r="E31" i="26"/>
  <c r="I31" i="26"/>
  <c r="M31" i="26"/>
  <c r="B31" i="26"/>
  <c r="N29" i="26"/>
  <c r="D31" i="26"/>
  <c r="N32" i="26"/>
  <c r="N14" i="26"/>
  <c r="G21" i="26"/>
  <c r="G30" i="26" s="1"/>
  <c r="AF9" i="107"/>
  <c r="AE22" i="107"/>
  <c r="AK20" i="107" s="1"/>
  <c r="AH18" i="107"/>
  <c r="AL16" i="107" s="1"/>
  <c r="AH21" i="107"/>
  <c r="AL19" i="107" s="1"/>
  <c r="AE17" i="107"/>
  <c r="AK15" i="107" s="1"/>
  <c r="AH19" i="107"/>
  <c r="AL17" i="107" s="1"/>
  <c r="AE19" i="107"/>
  <c r="AK17" i="107" s="1"/>
  <c r="AE20" i="107"/>
  <c r="AK18" i="107" s="1"/>
  <c r="AH22" i="107"/>
  <c r="AL20" i="107" s="1"/>
  <c r="AF10" i="107"/>
  <c r="AF8" i="107"/>
  <c r="AF6" i="107"/>
  <c r="AI29" i="21" l="1"/>
  <c r="AH29" i="21"/>
  <c r="AI30" i="21"/>
  <c r="AJ30" i="21" s="1"/>
  <c r="AH30" i="21"/>
  <c r="N20" i="21"/>
  <c r="P19" i="21" s="1"/>
  <c r="O20" i="71"/>
  <c r="AJ29" i="21"/>
  <c r="AF31" i="21"/>
  <c r="AH31" i="21" s="1"/>
  <c r="AF36" i="107"/>
  <c r="N34" i="21"/>
  <c r="E36" i="21"/>
  <c r="N36" i="21" s="1"/>
  <c r="N22" i="21"/>
  <c r="AG21" i="24"/>
  <c r="AG17" i="24"/>
  <c r="O17" i="71"/>
  <c r="F63" i="90"/>
  <c r="G61" i="90"/>
  <c r="F60" i="90"/>
  <c r="AF38" i="107"/>
  <c r="AF31" i="107"/>
  <c r="AF33" i="107"/>
  <c r="AF42" i="107"/>
  <c r="AF44" i="107"/>
  <c r="F64" i="90"/>
  <c r="G64" i="90"/>
  <c r="G60" i="90"/>
  <c r="F61" i="90"/>
  <c r="G63" i="90"/>
  <c r="O21" i="71"/>
  <c r="O16" i="71"/>
  <c r="N30" i="26"/>
  <c r="G31" i="26"/>
  <c r="N31" i="26" l="1"/>
  <c r="P30" i="26" s="1"/>
  <c r="P21" i="21"/>
  <c r="Q31" i="26"/>
  <c r="P32" i="21"/>
  <c r="AF33" i="21"/>
  <c r="AD3" i="21"/>
  <c r="AI31" i="21"/>
  <c r="AJ31" i="21" s="1"/>
  <c r="P35" i="21"/>
</calcChain>
</file>

<file path=xl/sharedStrings.xml><?xml version="1.0" encoding="utf-8"?>
<sst xmlns="http://schemas.openxmlformats.org/spreadsheetml/2006/main" count="9488" uniqueCount="1910">
  <si>
    <t>Chlorophyll a and Secchi</t>
  </si>
  <si>
    <t>Chlorophyll, ug/L</t>
  </si>
  <si>
    <t>SITE</t>
  </si>
  <si>
    <t>Bear Creek Reservoir Monitoring Program</t>
  </si>
  <si>
    <t>Secchi Depth, m</t>
  </si>
  <si>
    <t>Notes</t>
  </si>
  <si>
    <t xml:space="preserve"> Reservoir</t>
  </si>
  <si>
    <t>Peak Chlorophyll-a [ug/l]</t>
  </si>
  <si>
    <t>Parameter</t>
  </si>
  <si>
    <t>Site</t>
  </si>
  <si>
    <t>Chlorophyll-a (ug/L)</t>
  </si>
  <si>
    <t>Nitrate-Nitrogen (ug/L)</t>
  </si>
  <si>
    <t xml:space="preserve">Total Phosphorus (ug/L) </t>
  </si>
  <si>
    <t>Total Suspended Solids (mg/L)</t>
  </si>
  <si>
    <t>Secchi Depth (m)</t>
  </si>
  <si>
    <t>Average</t>
  </si>
  <si>
    <t>Reservoir Average</t>
  </si>
  <si>
    <t>Turkey Creek Inflow</t>
  </si>
  <si>
    <t>Bear Creek Inflow</t>
  </si>
  <si>
    <t>Bear Creek Outflow</t>
  </si>
  <si>
    <t>Lower Bear Creek</t>
  </si>
  <si>
    <t>Total Inflow</t>
  </si>
  <si>
    <t>Reservoir Top</t>
  </si>
  <si>
    <t>Reservoir Middle</t>
  </si>
  <si>
    <t>Reservoir Bottom</t>
  </si>
  <si>
    <t>Secchi</t>
  </si>
  <si>
    <t>Reservoir Outflow</t>
  </si>
  <si>
    <t>TP</t>
  </si>
  <si>
    <t>TN</t>
  </si>
  <si>
    <t>Chl</t>
  </si>
  <si>
    <t>Chl-peak</t>
  </si>
  <si>
    <t>Seasonal Means</t>
  </si>
  <si>
    <t>XSD</t>
  </si>
  <si>
    <t>XCA</t>
  </si>
  <si>
    <t>XTP</t>
  </si>
  <si>
    <t>Annual Means</t>
  </si>
  <si>
    <t>Carlson's Annual</t>
  </si>
  <si>
    <t xml:space="preserve">Carlson's Seasonal </t>
  </si>
  <si>
    <t>ltp</t>
  </si>
  <si>
    <t>lsd</t>
  </si>
  <si>
    <t>lw</t>
  </si>
  <si>
    <t>hyper</t>
  </si>
  <si>
    <t>eu</t>
  </si>
  <si>
    <t>Walker Model - Annual Averages</t>
  </si>
  <si>
    <t>Walker Model - Seasonal Averages</t>
  </si>
  <si>
    <t>year</t>
  </si>
  <si>
    <t>Conc</t>
  </si>
  <si>
    <t xml:space="preserve">Year </t>
  </si>
  <si>
    <t>Nitrate-nitrogen ug/l</t>
  </si>
  <si>
    <t>Retained in Reservoir</t>
  </si>
  <si>
    <t>Average Inflow</t>
  </si>
  <si>
    <t>Retained In Reservoir</t>
  </si>
  <si>
    <t>Total Phosphorus Trends</t>
  </si>
  <si>
    <t>Value</t>
  </si>
  <si>
    <t>25-30</t>
  </si>
  <si>
    <t>Oligotrophic-Mesotropic</t>
  </si>
  <si>
    <t>45-50</t>
  </si>
  <si>
    <t>Mesotrophic-Eutrophic</t>
  </si>
  <si>
    <t>65-70</t>
  </si>
  <si>
    <t>Eutrophic-Hypereutrophic</t>
  </si>
  <si>
    <t>Carlson</t>
  </si>
  <si>
    <t>40-50</t>
  </si>
  <si>
    <t>Total Phosphorus (ug/l)</t>
  </si>
  <si>
    <t>Total Phosphorus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</si>
  <si>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</si>
  <si>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</si>
  <si>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</si>
  <si>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</si>
  <si>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</si>
  <si>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</si>
  <si>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</si>
  <si>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</si>
  <si>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</si>
  <si>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</si>
  <si>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</si>
  <si>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</si>
  <si>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Peak</t>
  </si>
  <si>
    <t>&gt;70</t>
  </si>
  <si>
    <t>Hypereutrophic</t>
  </si>
  <si>
    <t>Days</t>
  </si>
  <si>
    <t>Ac-ft/month Bear Creek Reservoir</t>
  </si>
  <si>
    <t>Annual ac-ft/yr</t>
  </si>
  <si>
    <t>Annual Mean</t>
  </si>
  <si>
    <t>Total Load</t>
  </si>
  <si>
    <t>Annual Average</t>
  </si>
  <si>
    <t>Seasonal Mean</t>
  </si>
  <si>
    <t>Annual Reservoir Average</t>
  </si>
  <si>
    <t>Seasonal Reservoir Average</t>
  </si>
  <si>
    <t>Estimated Monthly Flow (ac-ft) At Stations</t>
  </si>
  <si>
    <t>Year</t>
  </si>
  <si>
    <t>50-65</t>
  </si>
  <si>
    <t>Eutrophic</t>
  </si>
  <si>
    <t>30-45</t>
  </si>
  <si>
    <t>Mesotrophic</t>
  </si>
  <si>
    <t>Eu-hyp</t>
  </si>
  <si>
    <t>Hyp</t>
  </si>
  <si>
    <t>Eu</t>
  </si>
  <si>
    <t>Transition State</t>
  </si>
  <si>
    <t>Reservoir Annual Average Concentrations</t>
  </si>
  <si>
    <t>Water Column</t>
  </si>
  <si>
    <t>Top</t>
  </si>
  <si>
    <t>Mid</t>
  </si>
  <si>
    <t>Seasonal Average</t>
  </si>
  <si>
    <t>Sechhi</t>
  </si>
  <si>
    <t>TSI Index</t>
  </si>
  <si>
    <t>Chlorophyll-a</t>
  </si>
  <si>
    <t>Total Phosphorus Pounds</t>
  </si>
  <si>
    <t xml:space="preserve">Bear Creek </t>
  </si>
  <si>
    <t xml:space="preserve">Turkey Creek </t>
  </si>
  <si>
    <t>Bear Creek</t>
  </si>
  <si>
    <t>Average arce-ft/day</t>
  </si>
  <si>
    <t>Chlorophyll</t>
  </si>
  <si>
    <t>Index (f)</t>
  </si>
  <si>
    <t>Secchi (ft)</t>
  </si>
  <si>
    <t>Annual Reservoir</t>
  </si>
  <si>
    <t>Seasonal Reservoir</t>
  </si>
  <si>
    <t>Phosphorus</t>
  </si>
  <si>
    <t xml:space="preserve">Phytoplankton Species </t>
  </si>
  <si>
    <t>ltn</t>
  </si>
  <si>
    <t>Bear Creek Lair O'Bear</t>
  </si>
  <si>
    <t>Jefferson County, Colorado</t>
  </si>
  <si>
    <t>Hydrologic Unit Code 10190002</t>
  </si>
  <si>
    <t>Latitude  39°39'08", Longitude 105°10'23" NAD27</t>
  </si>
  <si>
    <t>Drainage area 176  square miles</t>
  </si>
  <si>
    <t>Contributing drainage area 176  square miles</t>
  </si>
  <si>
    <t>Gage datum 5,645.00 feet above sea level NGVD29</t>
  </si>
  <si>
    <t>Association Annual ac-ft/yr</t>
  </si>
  <si>
    <t>0-25</t>
  </si>
  <si>
    <t>Oligotrophic</t>
  </si>
  <si>
    <t>Oligotrophic-Mesotrophic</t>
  </si>
  <si>
    <t>65+</t>
  </si>
  <si>
    <t>Walker TI</t>
  </si>
  <si>
    <t>Date</t>
  </si>
  <si>
    <t>Average Annual Sechhi Depth (meters)</t>
  </si>
  <si>
    <t>Time</t>
  </si>
  <si>
    <t>SC</t>
  </si>
  <si>
    <t>DO</t>
  </si>
  <si>
    <t>Temp</t>
  </si>
  <si>
    <t>pH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</si>
  <si>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</si>
  <si>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</si>
  <si>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</si>
  <si>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</si>
  <si>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</si>
  <si>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</si>
  <si>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</si>
  <si>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</si>
  <si>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</si>
  <si>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Secchi m</t>
  </si>
  <si>
    <t>Width (feet)</t>
  </si>
  <si>
    <t>Distance</t>
  </si>
  <si>
    <t>Depth</t>
  </si>
  <si>
    <t>Vel Ave Ft/sec</t>
  </si>
  <si>
    <t>Area</t>
  </si>
  <si>
    <t>Discharge,cfs</t>
  </si>
  <si>
    <t>cfs</t>
  </si>
  <si>
    <t>T Depth m</t>
  </si>
  <si>
    <t>Coyote Gulch Upper</t>
  </si>
  <si>
    <t>Coyote Gulch Lower</t>
  </si>
  <si>
    <t>Phosphorus, total</t>
  </si>
  <si>
    <t>Chlorophyll a</t>
  </si>
  <si>
    <t>Parameter (ug/l)</t>
  </si>
  <si>
    <t>Bear Creek Laboratory Monitoring Data</t>
  </si>
  <si>
    <t>Nitrate/Nitrite as N, dissolved</t>
  </si>
  <si>
    <t>Site 5</t>
  </si>
  <si>
    <t>10m</t>
  </si>
  <si>
    <t>11m</t>
  </si>
  <si>
    <t>BCReservoir</t>
  </si>
  <si>
    <t>Reservoir Profiles</t>
  </si>
  <si>
    <t>date:</t>
  </si>
  <si>
    <t>TCIn; 16a</t>
  </si>
  <si>
    <t>BCIn; 15a</t>
  </si>
  <si>
    <t>LBCout; 45</t>
  </si>
  <si>
    <t>40a/40c</t>
  </si>
  <si>
    <t>Site 41 (1)</t>
  </si>
  <si>
    <t>Site 42 (3)</t>
  </si>
  <si>
    <t xml:space="preserve">Total Nitrogen </t>
  </si>
  <si>
    <t>Total Nitrogen</t>
  </si>
  <si>
    <t>Total Phosphorus, ug/l</t>
  </si>
  <si>
    <t>Water Year</t>
  </si>
  <si>
    <t>Total Turkey Creek Inflow (Acre-Ft/Year)</t>
  </si>
  <si>
    <t>00060, Discharge, cubic feet per second</t>
  </si>
  <si>
    <t>Total Reservoir Inflow (Acre-Ft/Year)</t>
  </si>
  <si>
    <t>Bear Creek Inflow, Site 15a</t>
  </si>
  <si>
    <t>Turkey Creek Inflow, Site 16a</t>
  </si>
  <si>
    <t>Lower Bear Creek Outflow, Site 45</t>
  </si>
  <si>
    <t>Reservoir Sites</t>
  </si>
  <si>
    <t>Reservoir Site 40</t>
  </si>
  <si>
    <t>9.0 (13.0)</t>
  </si>
  <si>
    <t>23.3 (23.8)</t>
  </si>
  <si>
    <t>Standard</t>
  </si>
  <si>
    <t>site 40</t>
  </si>
  <si>
    <t>Site 41</t>
  </si>
  <si>
    <t>Site 42</t>
  </si>
  <si>
    <t>S(Apr-Dec)</t>
  </si>
  <si>
    <t>S(Jan-Mar)</t>
  </si>
  <si>
    <t>Profile Average (mg/l)</t>
  </si>
  <si>
    <t>Total Depth Profile (m)</t>
  </si>
  <si>
    <t>Site 36</t>
  </si>
  <si>
    <t>Site 37</t>
  </si>
  <si>
    <t>Site 8a</t>
  </si>
  <si>
    <t>Site 9</t>
  </si>
  <si>
    <t>Site 12</t>
  </si>
  <si>
    <t>Site 13a</t>
  </si>
  <si>
    <t>Site 14a</t>
  </si>
  <si>
    <t>Site 18</t>
  </si>
  <si>
    <t>Site 19</t>
  </si>
  <si>
    <t>Site 25</t>
  </si>
  <si>
    <t>Site 35</t>
  </si>
  <si>
    <t>Site 50</t>
  </si>
  <si>
    <t xml:space="preserve">Site ID </t>
  </si>
  <si>
    <t>Site Location by Stream Segment</t>
  </si>
  <si>
    <t>Segment 1a</t>
  </si>
  <si>
    <t>Site 3a</t>
  </si>
  <si>
    <t>Above Evergreen Lake at CDOW Site</t>
  </si>
  <si>
    <t>Segment 1e</t>
  </si>
  <si>
    <t>Bear Creek Cabins at CDOW Site</t>
  </si>
  <si>
    <t>O'Fallon Park, west end at CDOW Site</t>
  </si>
  <si>
    <t>Lair o' the Bear Park, at CDOW site</t>
  </si>
  <si>
    <t>Below Idledale, Shady Lane at CDOW site</t>
  </si>
  <si>
    <t>Segment 3</t>
  </si>
  <si>
    <t>Vance Creek (Mt. Evans Wilderness drainage)</t>
  </si>
  <si>
    <t>Segment 5</t>
  </si>
  <si>
    <t>Cub Creek, Upstream of Cub Creek Park</t>
  </si>
  <si>
    <t>Segment 6a</t>
  </si>
  <si>
    <t>North Turkey Creek Flying J Ranch Bridge</t>
  </si>
  <si>
    <t>T Phos Ug/l</t>
  </si>
  <si>
    <t>TN Ug/l</t>
  </si>
  <si>
    <t>Above EMD WWTP, CDOW downtown site</t>
  </si>
  <si>
    <t>Morrison Park west, CDOW Site</t>
  </si>
  <si>
    <t>DO(mg/l)</t>
  </si>
  <si>
    <t>Location</t>
  </si>
  <si>
    <t>Segment</t>
  </si>
  <si>
    <t xml:space="preserve"> Bear Creek Reservoir Monitoring Program</t>
  </si>
  <si>
    <t>Bottom</t>
  </si>
  <si>
    <t>1/2m</t>
  </si>
  <si>
    <t>1 1/2m</t>
  </si>
  <si>
    <t>2 1/2m</t>
  </si>
  <si>
    <t>3 1/2m</t>
  </si>
  <si>
    <t xml:space="preserve"> BEAR CREEK ABOVE BEAR CREEK LAKE NEAR MORRISON, CO</t>
  </si>
  <si>
    <r>
      <t xml:space="preserve">Temperature, </t>
    </r>
    <r>
      <rPr>
        <b/>
        <vertAlign val="superscript"/>
        <sz val="12"/>
        <rFont val="Arial"/>
        <family val="2"/>
      </rPr>
      <t>o</t>
    </r>
    <r>
      <rPr>
        <b/>
        <sz val="12"/>
        <rFont val="Arial"/>
        <family val="2"/>
      </rPr>
      <t>C</t>
    </r>
  </si>
  <si>
    <t xml:space="preserve">Annual </t>
  </si>
  <si>
    <t>Temp 1/2-2m</t>
  </si>
  <si>
    <t>Average1/2-2m (mg/l)</t>
  </si>
  <si>
    <t>Total Nitrogen (ug/l)</t>
  </si>
  <si>
    <t xml:space="preserve">Bear Creek Cabins </t>
  </si>
  <si>
    <t>Flow (cfs)</t>
  </si>
  <si>
    <t>Dissolved Oxygen (mg/l)</t>
  </si>
  <si>
    <t>Site 4 Evergreen Lake</t>
  </si>
  <si>
    <t>DO1/2-2m</t>
  </si>
  <si>
    <t>pH wc</t>
  </si>
  <si>
    <t>SC wc</t>
  </si>
  <si>
    <t xml:space="preserve">Vel Ave </t>
  </si>
  <si>
    <t>Width</t>
  </si>
  <si>
    <t>Samplers</t>
  </si>
  <si>
    <t>Weather</t>
  </si>
  <si>
    <t>July</t>
  </si>
  <si>
    <t>August</t>
  </si>
  <si>
    <t>x</t>
  </si>
  <si>
    <t>MAX</t>
  </si>
  <si>
    <t>MIN</t>
  </si>
  <si>
    <t>avg</t>
  </si>
  <si>
    <t>June</t>
  </si>
  <si>
    <t>Ammonia</t>
  </si>
  <si>
    <t xml:space="preserve">Median </t>
  </si>
  <si>
    <t>Average Total Nitrogen [ug/l]: -1m</t>
  </si>
  <si>
    <t>Average Total Nitrogen [ug/l]: -10m</t>
  </si>
  <si>
    <t>Peak Annual Total Phosphorus [ug/l] Water Column</t>
  </si>
  <si>
    <t>Total Nitrogen Pounds</t>
  </si>
  <si>
    <t>Average Annual Total Nitrogen [ug/l]: Water Column</t>
  </si>
  <si>
    <t>Growing Season Total Phosphorus [ug/l]: -1m</t>
  </si>
  <si>
    <t>Growing Season Total Phosphorus [ug/l]: -10m</t>
  </si>
  <si>
    <t>Average Annual Total Phosphorus [ug/l] -1m</t>
  </si>
  <si>
    <t>Average Annual Total Phosphorus [ug/l] -10m</t>
  </si>
  <si>
    <t>Growing Season Total Phosphorus [ug/l]: Water Column</t>
  </si>
  <si>
    <t>Average Annual Total Phosphorus [ug/l]: Water Column</t>
  </si>
  <si>
    <t>Average Growing Season Chlorophyll-a [ug/l (-1m)]</t>
  </si>
  <si>
    <t>Average Annual Chlorophyll-a [ug/l (-1m)]</t>
  </si>
  <si>
    <t>Reservoir Growing Season July to September</t>
  </si>
  <si>
    <t>Growing Season Total Nitrogen [ug/l]: Water Column</t>
  </si>
  <si>
    <t>Growing Season Total Nitrogen [ug/l]: -1m</t>
  </si>
  <si>
    <t>Growing Season Total Nitrogen [ug/l]: -10m</t>
  </si>
  <si>
    <t>Growing Season Average Secchi Depth (meters)</t>
  </si>
  <si>
    <t>Temperature C</t>
  </si>
  <si>
    <t>Specific Conductance ms/cm</t>
  </si>
  <si>
    <t>Dissolved Oxygen mg/l</t>
  </si>
  <si>
    <t>Site 63 Bottom Plume</t>
  </si>
  <si>
    <t>Site 2a</t>
  </si>
  <si>
    <t>Site 58</t>
  </si>
  <si>
    <t>South Turkey Creek Myers Ranch</t>
  </si>
  <si>
    <t>Site 37 Bear Creek</t>
  </si>
  <si>
    <t>Site 40 Central Pool</t>
  </si>
  <si>
    <t>Site 41- BC Outlet</t>
  </si>
  <si>
    <t>Site 42 - South Dam</t>
  </si>
  <si>
    <t>Dissolved Oxygen, mg/l</t>
  </si>
  <si>
    <t>36 - Outlet Summit Lake</t>
  </si>
  <si>
    <t>37 - Upper Bear Creek</t>
  </si>
  <si>
    <t>16a-Turkey Creek Inflow</t>
  </si>
  <si>
    <t>15a-Bear Creek Inflow</t>
  </si>
  <si>
    <t>45-Bear Creek Discharge</t>
  </si>
  <si>
    <t>Average (m)</t>
  </si>
  <si>
    <t>Average 1/2-2m</t>
  </si>
  <si>
    <t>Profile Average</t>
  </si>
  <si>
    <t>Discharge V avg A</t>
  </si>
  <si>
    <t>BCR Average 1/2-2m</t>
  </si>
  <si>
    <t>BCR Site 40 Profile Average</t>
  </si>
  <si>
    <t>Site 15a-Bear Creek Inflow</t>
  </si>
  <si>
    <t>Site 16a-Turkey Creek Inflow</t>
  </si>
  <si>
    <t>Site 45-Reservoir Discharge</t>
  </si>
  <si>
    <t>Site 40a-Reservoir - Top</t>
  </si>
  <si>
    <t>Site 40c-Reservoir - Lower</t>
  </si>
  <si>
    <t>BCR Water Column Average TN</t>
  </si>
  <si>
    <t>Golden Willow Road UBC</t>
  </si>
  <si>
    <t>Reservoir - Top (TP)</t>
  </si>
  <si>
    <t>BCR Water Column Average TP</t>
  </si>
  <si>
    <t>Reservoir - Lower (TP)</t>
  </si>
  <si>
    <t>Est Periphyton Coverage %</t>
  </si>
  <si>
    <t>Water Clarity</t>
  </si>
  <si>
    <t>Chemistry</t>
  </si>
  <si>
    <t>R</t>
  </si>
  <si>
    <t>Golden Willow Bridge</t>
  </si>
  <si>
    <t>Site 15a</t>
  </si>
  <si>
    <t> x</t>
  </si>
  <si>
    <t>Segment 1c</t>
  </si>
  <si>
    <t xml:space="preserve">R </t>
  </si>
  <si>
    <t>Below Idledale, Shady Lane CDOW site</t>
  </si>
  <si>
    <t>x </t>
  </si>
  <si>
    <t>Site 45</t>
  </si>
  <si>
    <t>Site 47a</t>
  </si>
  <si>
    <t>Upper Coyote Gulch</t>
  </si>
  <si>
    <t>Site 47b</t>
  </si>
  <si>
    <t>Lower Coyote Gulch,  reservoir</t>
  </si>
  <si>
    <t>Cub Creek, Upstream Cub Creek Park</t>
  </si>
  <si>
    <t>Cub Creek @ Brookforest Inn</t>
  </si>
  <si>
    <t>Site 16a</t>
  </si>
  <si>
    <t>Summit Lake (Segment 8)</t>
  </si>
  <si>
    <t>Bear Creek Mainstem (Segment 7)</t>
  </si>
  <si>
    <t>Field Data</t>
  </si>
  <si>
    <t>Laboratory Analyses</t>
  </si>
  <si>
    <t>Total Ammonia</t>
  </si>
  <si>
    <t>Temperature (field probe, 1/2-m intervals in central pool)</t>
  </si>
  <si>
    <t>Bear Creek within Bear Creek Park</t>
  </si>
  <si>
    <t>Manual Flows</t>
  </si>
  <si>
    <t>Reservoirs (BCR and Evergreen)</t>
  </si>
  <si>
    <t>USGS gauge</t>
  </si>
  <si>
    <t>Turkey Creek within Bear Creek Park</t>
  </si>
  <si>
    <t>site 42</t>
  </si>
  <si>
    <t>BCR, Outlet</t>
  </si>
  <si>
    <t>BCR South Dam</t>
  </si>
  <si>
    <t>Field Profile</t>
  </si>
  <si>
    <t>Temperature (discrete field probe )</t>
  </si>
  <si>
    <t>Macroinvertebrates</t>
  </si>
  <si>
    <t>E. coli, select sites</t>
  </si>
  <si>
    <t>BCR Phytoplankton (July, August, September only; six sample sets)</t>
  </si>
  <si>
    <t>Temperature  (continuous data loggers, 1/2-2m)</t>
  </si>
  <si>
    <t>Secchi Reading</t>
  </si>
  <si>
    <t>site 32</t>
  </si>
  <si>
    <t>Site 64</t>
  </si>
  <si>
    <t>Troublesome Mouth</t>
  </si>
  <si>
    <t>Troublesome at Culvert above West Jeff</t>
  </si>
  <si>
    <t>Mt Vernon Drainage, Morrison</t>
  </si>
  <si>
    <t>JCS Outdoor Lab</t>
  </si>
  <si>
    <t>Parameter (units)</t>
  </si>
  <si>
    <t>Physical/Field</t>
  </si>
  <si>
    <t>X</t>
  </si>
  <si>
    <t>Specific Conductance (umhos/cm)</t>
  </si>
  <si>
    <t>Secchi (meters)</t>
  </si>
  <si>
    <t>Temperature (C)</t>
  </si>
  <si>
    <t>Data Logger at site 40</t>
  </si>
  <si>
    <t>pH (standard unit)</t>
  </si>
  <si>
    <t>Chlorophyll a (ug/l)</t>
  </si>
  <si>
    <t>X (top, lower)</t>
  </si>
  <si>
    <t>Total Depth (m)</t>
  </si>
  <si>
    <t>Bottom Sediments BCR</t>
  </si>
  <si>
    <t>Total Phosphorus (mg/kg)</t>
  </si>
  <si>
    <t>% Organics ( TOC)</t>
  </si>
  <si>
    <t>% Clay-silt</t>
  </si>
  <si>
    <t>Daily average effluent discharge</t>
  </si>
  <si>
    <t>Total Inorganic Nitrogen (Calculation = NO2+NO3+NH4)</t>
  </si>
  <si>
    <t>Temperature  (continuous data loggers, Effluent)</t>
  </si>
  <si>
    <t>TDP</t>
  </si>
  <si>
    <t>Reference Site</t>
  </si>
  <si>
    <t xml:space="preserve">Data Logger </t>
  </si>
  <si>
    <t>Forest Hills Metro District</t>
  </si>
  <si>
    <t xml:space="preserve">Conifer Metro District </t>
  </si>
  <si>
    <t xml:space="preserve">JCS Conifer High School </t>
  </si>
  <si>
    <t>Site 40a-Reservoir - Top TP</t>
  </si>
  <si>
    <t>Site 40c-Reservoir - Lower TP</t>
  </si>
  <si>
    <t>E. coli cts/100ml</t>
  </si>
  <si>
    <t>Total Nitrogen ug/l</t>
  </si>
  <si>
    <t xml:space="preserve">Brookforest Inn </t>
  </si>
  <si>
    <t xml:space="preserve">Aspen Park Metro District </t>
  </si>
  <si>
    <t xml:space="preserve">GWSD </t>
  </si>
  <si>
    <t xml:space="preserve">KSWD </t>
  </si>
  <si>
    <t>Chlorophyll (Site 40)</t>
  </si>
  <si>
    <t>Clarity (All Profiles)</t>
  </si>
  <si>
    <t>Dissolved Oxygen (site 40 Profile)</t>
  </si>
  <si>
    <t>Annual Average at -1/2m - 2m [mg/l]</t>
  </si>
  <si>
    <t>Seasonal Minimum at -1/2 - 2m [mg/l]</t>
  </si>
  <si>
    <t>Seasonal Average at -1/2 - 2m [mg/l]</t>
  </si>
  <si>
    <t xml:space="preserve">Specific Conductance </t>
  </si>
  <si>
    <t>Annual Average at -1/2m - 2m [uS/cm]</t>
  </si>
  <si>
    <t>Seasonal Average at -1/2 - 2m [us/cm]</t>
  </si>
  <si>
    <t>Seasonal Minimum at -1/2 - 2m [us/cm]</t>
  </si>
  <si>
    <t>Total Outflow</t>
  </si>
  <si>
    <t>Site 45 Outflow BCR</t>
  </si>
  <si>
    <t>BCR Evaporation</t>
  </si>
  <si>
    <t>BCR Total Nitrogen Deposition</t>
  </si>
  <si>
    <t>BCR Total Phosphorus Deposition</t>
  </si>
  <si>
    <t>Total Nitrogen -Total Load In to BCR</t>
  </si>
  <si>
    <t>Total Nitrogen -Total Load From BCR</t>
  </si>
  <si>
    <t>Total Nitrogen -Total Deposition into BCR</t>
  </si>
  <si>
    <t>Total Phosphorus -Total Load In to BCR</t>
  </si>
  <si>
    <t>Total Phosphorus -Total Load From BCR</t>
  </si>
  <si>
    <t>Total Phosphorus -Total Deposition into BCR</t>
  </si>
  <si>
    <t>Loading - Annual Pounds</t>
  </si>
  <si>
    <t>Reservoir Monitoring Parameters</t>
  </si>
  <si>
    <t xml:space="preserve">Peak Phytoplankton </t>
  </si>
  <si>
    <t>47A Upper Coyote</t>
  </si>
  <si>
    <t>47B Lower Coyote</t>
  </si>
  <si>
    <t>*all preserved samples have an allowable holding time of 28 days</t>
  </si>
  <si>
    <t>Analyte</t>
  </si>
  <si>
    <t>Method</t>
  </si>
  <si>
    <t>Filtered (0.45 µm filter)</t>
  </si>
  <si>
    <t>Allowable Hold Time
(unpreserved samples)*</t>
  </si>
  <si>
    <t>No</t>
  </si>
  <si>
    <t>48 hours prior to digestion;
7 days prior to analysis</t>
  </si>
  <si>
    <t>Total Dissolved
Phosphorus</t>
  </si>
  <si>
    <t>Yes</t>
  </si>
  <si>
    <t>Nitrate + Nitrite</t>
  </si>
  <si>
    <t>48 hours</t>
  </si>
  <si>
    <t>24 hours</t>
  </si>
  <si>
    <t>Total Suspended
Solids</t>
  </si>
  <si>
    <t>Standard Methods 2540 D</t>
  </si>
  <si>
    <t>7 days before filtration, indefinitely after drying</t>
  </si>
  <si>
    <t>Hot Ethanol Extraction</t>
  </si>
  <si>
    <t>28 days</t>
  </si>
  <si>
    <t>Average % Recovery</t>
  </si>
  <si>
    <t>Number of Samples
Spiked</t>
  </si>
  <si>
    <t>Within Target Range</t>
  </si>
  <si>
    <t>Matrix spikes by analyte. Target recovery range is 80-120% recovery.</t>
  </si>
  <si>
    <t xml:space="preserve">Analyte </t>
  </si>
  <si>
    <t xml:space="preserve">Minimum Detection limit </t>
  </si>
  <si>
    <t xml:space="preserve">Total Phosphorus </t>
  </si>
  <si>
    <t xml:space="preserve">2 μg/L </t>
  </si>
  <si>
    <t>Nitrate+Nitrite</t>
  </si>
  <si>
    <t>3 ug/l</t>
  </si>
  <si>
    <t>2 ug/l</t>
  </si>
  <si>
    <t>4 mg/l</t>
  </si>
  <si>
    <t>0.1 ug/l</t>
  </si>
  <si>
    <t>All matrix spikes within target range of 80-120% recovery</t>
  </si>
  <si>
    <t>QA Requirement</t>
  </si>
  <si>
    <t>Note</t>
  </si>
  <si>
    <t>Chain of Custody received complete</t>
  </si>
  <si>
    <t>Samples received within holding times</t>
  </si>
  <si>
    <t>Samples at correct temperature (1-8ºC)</t>
  </si>
  <si>
    <t>QA/QC Standards within acceptable 10% difference</t>
  </si>
  <si>
    <t>Duplicate samples within acceptable 10% difference</t>
  </si>
  <si>
    <t>Morrison</t>
  </si>
  <si>
    <t>WWTF Site 20</t>
  </si>
  <si>
    <t>WWTF Site 22</t>
  </si>
  <si>
    <t>WWTF Site 23</t>
  </si>
  <si>
    <t>WWTF Site 34a</t>
  </si>
  <si>
    <t>NH3</t>
  </si>
  <si>
    <t>Parameter Summary</t>
  </si>
  <si>
    <t>Dissolved Oxygen 1/2-2m</t>
  </si>
  <si>
    <t xml:space="preserve">pH water column </t>
  </si>
  <si>
    <t>Temperature (C) 1/2-2m</t>
  </si>
  <si>
    <t>Specific Conductance (us/m)</t>
  </si>
  <si>
    <t>Morrison WWTF</t>
  </si>
  <si>
    <t>Park BC</t>
  </si>
  <si>
    <t>Evergreen</t>
  </si>
  <si>
    <t>Sheridan</t>
  </si>
  <si>
    <t>Estimated Flow cfs</t>
  </si>
  <si>
    <t>Periphyton Coverage</t>
  </si>
  <si>
    <t>BCWA Segment Sample Sites</t>
  </si>
  <si>
    <t>Total Nitrogen, ug/l</t>
  </si>
  <si>
    <t>Phosphorus, total, ug/l</t>
  </si>
  <si>
    <t>PQL</t>
  </si>
  <si>
    <t>BCRMORCO</t>
  </si>
  <si>
    <t>=</t>
  </si>
  <si>
    <t>DATE</t>
  </si>
  <si>
    <t>COUNT</t>
  </si>
  <si>
    <t>Fish Present</t>
  </si>
  <si>
    <t>site 36 - within Summit lake</t>
  </si>
  <si>
    <t>site 36 through Culverts</t>
  </si>
  <si>
    <t>site 37 - Bear Creek</t>
  </si>
  <si>
    <t>Total Nitrogen, Pounds/month</t>
  </si>
  <si>
    <t>Total Phosphorus, Pounds/month</t>
  </si>
  <si>
    <t>Season Totals</t>
  </si>
  <si>
    <t>Flow acre-feet/month</t>
  </si>
  <si>
    <t>Segment 4a</t>
  </si>
  <si>
    <t>BCROUTCO</t>
  </si>
  <si>
    <t>CFS Morrison</t>
  </si>
  <si>
    <t>&lt;p&gt;Warning: Javascript must be enabled to use all the features on this page! &lt;p&gt;Warning: Javascript must be enabled to use all the features on this page!</t>
  </si>
  <si>
    <t>Daily Mean Discharge, cubic feet per second</t>
  </si>
  <si>
    <t>Ice</t>
  </si>
  <si>
    <t>None</t>
  </si>
  <si>
    <t>Site 32</t>
  </si>
  <si>
    <t>WWTF Site 24</t>
  </si>
  <si>
    <t>DNR</t>
  </si>
  <si>
    <t>WWTF Site 66</t>
  </si>
  <si>
    <t>WWTF Site 71</t>
  </si>
  <si>
    <t>WWTF Site 72</t>
  </si>
  <si>
    <t>Evergreen Metro Distict</t>
  </si>
  <si>
    <t>WWTF Site 21</t>
  </si>
  <si>
    <t>Conifer Sanitation District</t>
  </si>
  <si>
    <t>WWTF Site 59</t>
  </si>
  <si>
    <t xml:space="preserve">West Jefferson County Metro District </t>
  </si>
  <si>
    <t>WWTF Site 73</t>
  </si>
  <si>
    <t>Site 5a</t>
  </si>
  <si>
    <t>Morrison Park east end  at gaging station</t>
  </si>
  <si>
    <t>WWTF Site 56</t>
  </si>
  <si>
    <t>BCR Top, Site 40a</t>
  </si>
  <si>
    <t>BCR  -10m, Site 40c</t>
  </si>
  <si>
    <t>91-13 Mean</t>
  </si>
  <si>
    <t>91-13 Median</t>
  </si>
  <si>
    <t>EGL 4a</t>
  </si>
  <si>
    <t>EGL 4e</t>
  </si>
  <si>
    <t>Evergreen Lake, Segment 1d</t>
  </si>
  <si>
    <t>Little Bear Evergreen</t>
  </si>
  <si>
    <t xml:space="preserve"> Keys-on-the-Green</t>
  </si>
  <si>
    <t>Upper Bear Creek - Mt. Evans Wilderness</t>
  </si>
  <si>
    <t>O'Fallon Park</t>
  </si>
  <si>
    <t xml:space="preserve">Lair o' the Bear </t>
  </si>
  <si>
    <t xml:space="preserve"> Idledale, Shady Lane</t>
  </si>
  <si>
    <t>Morrison Park west</t>
  </si>
  <si>
    <t xml:space="preserve">Vance Creek </t>
  </si>
  <si>
    <t>Mt Vernon, Morrison</t>
  </si>
  <si>
    <t xml:space="preserve">South Turkey Creek </t>
  </si>
  <si>
    <t xml:space="preserve">North Turkey Creek </t>
  </si>
  <si>
    <t xml:space="preserve">Upper Coyote </t>
  </si>
  <si>
    <t xml:space="preserve">Lower Coyote </t>
  </si>
  <si>
    <t>Mar-Apr</t>
  </si>
  <si>
    <t>May-Jun</t>
  </si>
  <si>
    <t>Jul-Aug</t>
  </si>
  <si>
    <t>Sep-Oct</t>
  </si>
  <si>
    <t>Nov-Dec</t>
  </si>
  <si>
    <t>Jan-Feb</t>
  </si>
  <si>
    <t>Upper Coyote</t>
  </si>
  <si>
    <t>Lower Coyote</t>
  </si>
  <si>
    <t>Ac-Ft/day</t>
  </si>
  <si>
    <t>Ac-ft/month</t>
  </si>
  <si>
    <t>Loading Pounds/Period</t>
  </si>
  <si>
    <t>Flow Estimate</t>
  </si>
  <si>
    <t>Annual Pounds</t>
  </si>
  <si>
    <t>Flow Estimate ac-yr</t>
  </si>
  <si>
    <t>Average Loading</t>
  </si>
  <si>
    <t>Seasonal Maximum at -1/2 - 2m [mg/l]</t>
  </si>
  <si>
    <t>Dissolved Oxygen (field probe, 1/2-m intervals in central pool thru 4m, then 1m interval)</t>
  </si>
  <si>
    <t>Specific Conductivity (field probe, 1/2-m intervals in central pool thru 4m, then 1m interval)</t>
  </si>
  <si>
    <t>pH (field probe, 1/2-m intervals in central pool thru 4m, then 1m interval)</t>
  </si>
  <si>
    <t>Pebble Counts</t>
  </si>
  <si>
    <t>Table 1:     FIA Chemistry Method Summary</t>
  </si>
  <si>
    <t>Date
Completed</t>
  </si>
  <si>
    <t>Allowable Hold Time*</t>
  </si>
  <si>
    <t>Total
Phosphorus</t>
  </si>
  <si>
    <t>QuickChem
10-115-01-4-B,
with manual digestion</t>
  </si>
  <si>
    <t>Preserve upon receipt</t>
  </si>
  <si>
    <t>24 hours prior to filtration; Preserve immediately after filtration</t>
  </si>
  <si>
    <t>QuickChem
10-107-04-4-B,
with manual digestion</t>
  </si>
  <si>
    <t>QuickChem
10-107-04-1-C</t>
  </si>
  <si>
    <t>Analyze within 48 hours; Preserve</t>
  </si>
  <si>
    <t>QuickChem
10-107-06-2-A</t>
  </si>
  <si>
    <t>*all preserved samples have an allowable hold time of 28 days</t>
  </si>
  <si>
    <t>QuickChem 10-115-01-4-B, with manual digestion</t>
  </si>
  <si>
    <t>QuickChem 10-107-04-4-B, with manual digestion</t>
  </si>
  <si>
    <t>QuickChem 10-107-04-1-C</t>
  </si>
  <si>
    <t>QuickChem 10-107-06-3-A</t>
  </si>
  <si>
    <t>6 ug/l</t>
  </si>
  <si>
    <t>MDL (ug/l)</t>
  </si>
  <si>
    <t xml:space="preserve">5 ug/l </t>
  </si>
  <si>
    <t>Total Inorganic Nitrogen</t>
  </si>
  <si>
    <t>Fish</t>
  </si>
  <si>
    <t>BCL Park</t>
  </si>
  <si>
    <t>Res</t>
  </si>
  <si>
    <t>LBC Out</t>
  </si>
  <si>
    <t>Notes:</t>
  </si>
  <si>
    <t xml:space="preserve">RNC Consulting; Tony Langoski; </t>
  </si>
  <si>
    <t>_________________________________________________________________</t>
  </si>
  <si>
    <t xml:space="preserve">Site 36 </t>
  </si>
  <si>
    <t>Summit Lake</t>
  </si>
  <si>
    <t>Pipe#1</t>
  </si>
  <si>
    <t>Pipe#2</t>
  </si>
  <si>
    <t>Site 37 (Mt Evans, BC)</t>
  </si>
  <si>
    <t>Site 65 BC Ponds</t>
  </si>
  <si>
    <t>Width (in)</t>
  </si>
  <si>
    <t>Width/Depth</t>
  </si>
  <si>
    <t>Algal Coverage</t>
  </si>
  <si>
    <t>Site 74 Fen Pond #1</t>
  </si>
  <si>
    <t>Site 75 Fen Pond #2</t>
  </si>
  <si>
    <t>63 Bottom Plume</t>
  </si>
  <si>
    <t>65 BC Ponds</t>
  </si>
  <si>
    <t>74 Fen #1</t>
  </si>
  <si>
    <t>75 Fen #2</t>
  </si>
  <si>
    <t>37 Bear Creek</t>
  </si>
  <si>
    <t>76 Fen #3</t>
  </si>
  <si>
    <t>36 Summit Lake</t>
  </si>
  <si>
    <t>PQL (ug/l)</t>
  </si>
  <si>
    <t>GEI Laboratory</t>
  </si>
  <si>
    <t>Colorado Analytical</t>
  </si>
  <si>
    <t>EPA365.1</t>
  </si>
  <si>
    <t>Calculation</t>
  </si>
  <si>
    <t>LQL mg/l</t>
  </si>
  <si>
    <t>SM 4500-NH3-G</t>
  </si>
  <si>
    <t>SM2540-D</t>
  </si>
  <si>
    <t>using TKN + NO3</t>
  </si>
  <si>
    <t>NO3 + NO2</t>
  </si>
  <si>
    <t>NO3/NO2</t>
  </si>
  <si>
    <t>TIN</t>
  </si>
  <si>
    <t>effluent flow</t>
  </si>
  <si>
    <t>Reg 85 Reporting</t>
  </si>
  <si>
    <t>Effluent Monitoring</t>
  </si>
  <si>
    <t>flow meter</t>
  </si>
  <si>
    <t>1 mg/l</t>
  </si>
  <si>
    <t>N-Ammonia</t>
  </si>
  <si>
    <t>50 μg/l</t>
  </si>
  <si>
    <t>N Nitrate/Nitrite</t>
  </si>
  <si>
    <t>0.5 mg/l</t>
  </si>
  <si>
    <t>N-Nitrate</t>
  </si>
  <si>
    <t>N-Nitrite</t>
  </si>
  <si>
    <t>10 μg/l</t>
  </si>
  <si>
    <t>Total Kjeldahl Nitrogen</t>
  </si>
  <si>
    <t>BC03</t>
  </si>
  <si>
    <t>BC05</t>
  </si>
  <si>
    <t>PEL08</t>
  </si>
  <si>
    <t>PEL10</t>
  </si>
  <si>
    <t>TC14</t>
  </si>
  <si>
    <t>TC16</t>
  </si>
  <si>
    <t>Site Pel08</t>
  </si>
  <si>
    <t>Site Pel10</t>
  </si>
  <si>
    <t>Site TC14</t>
  </si>
  <si>
    <t>Site TC16</t>
  </si>
  <si>
    <t>Sediment</t>
  </si>
  <si>
    <t>Profile</t>
  </si>
  <si>
    <t>&lt;200</t>
  </si>
  <si>
    <t>Total Volume</t>
  </si>
  <si>
    <t>Mesh Size/ volume retained</t>
  </si>
  <si>
    <t>Lat</t>
  </si>
  <si>
    <t>Long</t>
  </si>
  <si>
    <t>PEL10a</t>
  </si>
  <si>
    <t>TC14a</t>
  </si>
  <si>
    <t>PEL08a</t>
  </si>
  <si>
    <t>TC16a</t>
  </si>
  <si>
    <t>BC05a</t>
  </si>
  <si>
    <t>Blank</t>
  </si>
  <si>
    <t>Transect</t>
  </si>
  <si>
    <t>tared</t>
  </si>
  <si>
    <t>mgP/kg Mud</t>
  </si>
  <si>
    <t>grams</t>
  </si>
  <si>
    <t>kg</t>
  </si>
  <si>
    <t>TP mg/l</t>
  </si>
  <si>
    <t>Filter</t>
  </si>
  <si>
    <t>Bear Creek Transect</t>
  </si>
  <si>
    <t>SedBC03</t>
  </si>
  <si>
    <t>SedBC05</t>
  </si>
  <si>
    <t>Pelican Point Transect</t>
  </si>
  <si>
    <t>SedPel08</t>
  </si>
  <si>
    <t>SedPel10</t>
  </si>
  <si>
    <t>Turkey Creek Transect</t>
  </si>
  <si>
    <t>SedTC14</t>
  </si>
  <si>
    <t>SedTC16</t>
  </si>
  <si>
    <t>Grams wet mud</t>
  </si>
  <si>
    <t>Grams Dry Mud</t>
  </si>
  <si>
    <t>TOC</t>
  </si>
  <si>
    <t>Tare</t>
  </si>
  <si>
    <t>Mud</t>
  </si>
  <si>
    <t>Wet Mud</t>
  </si>
  <si>
    <t>105 dried Mud</t>
  </si>
  <si>
    <t>dry Mud</t>
  </si>
  <si>
    <t>Ashed Mud</t>
  </si>
  <si>
    <t>% Solids</t>
  </si>
  <si>
    <t>TVS</t>
  </si>
  <si>
    <t>2012 SePRO</t>
  </si>
  <si>
    <t>TP Sed, Mg/kg</t>
  </si>
  <si>
    <t>EPA 365.3, Modified</t>
  </si>
  <si>
    <t>SedBC01</t>
  </si>
  <si>
    <t>SedBC02</t>
  </si>
  <si>
    <t>SedBC04</t>
  </si>
  <si>
    <t>SedBC06</t>
  </si>
  <si>
    <t>SedPel07</t>
  </si>
  <si>
    <t>SedPel09</t>
  </si>
  <si>
    <t>SedPel11</t>
  </si>
  <si>
    <t>SedTC12</t>
  </si>
  <si>
    <t>SedTC13</t>
  </si>
  <si>
    <t>SedTC15</t>
  </si>
  <si>
    <t>SedTC17</t>
  </si>
  <si>
    <t>% TOC</t>
  </si>
  <si>
    <t>TS%</t>
  </si>
  <si>
    <t>91-2014 Mean</t>
  </si>
  <si>
    <t>91-2014 Median</t>
  </si>
  <si>
    <t>Chlorophyll a average</t>
  </si>
  <si>
    <t>Chlorophyll a Average</t>
  </si>
  <si>
    <t>Preservation
(H2SO4 to pH
&lt;2.0)</t>
  </si>
  <si>
    <t>NOx</t>
  </si>
  <si>
    <r>
      <t xml:space="preserve">Chlorophyll </t>
    </r>
    <r>
      <rPr>
        <i/>
        <sz val="10"/>
        <color indexed="8"/>
        <rFont val="Calibri"/>
        <family val="2"/>
        <scheme val="minor"/>
      </rPr>
      <t>a</t>
    </r>
  </si>
  <si>
    <t xml:space="preserve">South Turkey Creek Aspen Park </t>
  </si>
  <si>
    <t>91-2015 Mean</t>
  </si>
  <si>
    <t>91-2015 Median</t>
  </si>
  <si>
    <t>Periphyton Growth Thickness Estimate</t>
  </si>
  <si>
    <t>substrate rough with no visual evidence of microalgae</t>
  </si>
  <si>
    <t>substrate slimy, but no visual accumulation of microalgae is evident</t>
  </si>
  <si>
    <t>thin layer of periphyton is visually evident</t>
  </si>
  <si>
    <t>accumulation of periphyton layer from 0.5-1 mm thick is evident</t>
  </si>
  <si>
    <t>accumulation of periphyton layer from 1 mm to 5 mm thick is evident</t>
  </si>
  <si>
    <t>accumulation of periphyton layer from 5 mm to 2 cm thick is evident</t>
  </si>
  <si>
    <t>accumulation of periphyton layer greater than 2 cm thick is evident</t>
  </si>
  <si>
    <t>Site:</t>
  </si>
  <si>
    <t>Date:</t>
  </si>
  <si>
    <t>Periphyton Estimation</t>
  </si>
  <si>
    <t>Clarity</t>
  </si>
  <si>
    <t>Periphyton</t>
  </si>
  <si>
    <t>LABID</t>
  </si>
  <si>
    <t>CLIENTID</t>
  </si>
  <si>
    <t>COLLECTDATE</t>
  </si>
  <si>
    <t>RECEIVEDATE</t>
  </si>
  <si>
    <t>ANALYTE</t>
  </si>
  <si>
    <t>MATRIX</t>
  </si>
  <si>
    <t>RESULT</t>
  </si>
  <si>
    <t>SW</t>
  </si>
  <si>
    <t>12m</t>
  </si>
  <si>
    <t>13m</t>
  </si>
  <si>
    <t>14m</t>
  </si>
  <si>
    <t>15m</t>
  </si>
  <si>
    <t>Cub</t>
  </si>
  <si>
    <t>at Lowell</t>
  </si>
  <si>
    <t>EGL</t>
  </si>
  <si>
    <t>Mt Veron</t>
  </si>
  <si>
    <t>BC below Cub</t>
  </si>
  <si>
    <t>EGL out</t>
  </si>
  <si>
    <t>BC at Cub</t>
  </si>
  <si>
    <t>BC @ Cub</t>
  </si>
  <si>
    <t>Cub Crk</t>
  </si>
  <si>
    <t>Site 76 Fen @Site 37</t>
  </si>
  <si>
    <t>Site 61 Across vaults</t>
  </si>
  <si>
    <t>Site 81 Fen @S Parking</t>
  </si>
  <si>
    <t>Month</t>
  </si>
  <si>
    <t>Site 82 (DEH 10)</t>
  </si>
  <si>
    <t>Algal</t>
  </si>
  <si>
    <t xml:space="preserve">0 1 2 3 4 5 </t>
  </si>
  <si>
    <t>9 O'Fallon</t>
  </si>
  <si>
    <t>1987-2012</t>
  </si>
  <si>
    <t>Evergreen Lake @ Dam</t>
  </si>
  <si>
    <t>3,100 rpms</t>
  </si>
  <si>
    <t>sediments taken with Petite Ponar dredge, top 5-10 cm mud</t>
  </si>
  <si>
    <t>% Total Organic Carbon</t>
  </si>
  <si>
    <t>Sediment Phosphorus (mgP/kg Wet Mud)</t>
  </si>
  <si>
    <t>100ml</t>
  </si>
  <si>
    <t>Coarse Sand</t>
  </si>
  <si>
    <t>M Sand</t>
  </si>
  <si>
    <t>F Sand</t>
  </si>
  <si>
    <t>VF Sand</t>
  </si>
  <si>
    <t>Silt &amp; Clay</t>
  </si>
  <si>
    <t>Grain Size % retained</t>
  </si>
  <si>
    <t>TOC %</t>
  </si>
  <si>
    <t>Res  Out</t>
  </si>
  <si>
    <t>Fen Ponds</t>
  </si>
  <si>
    <t>Site 74 Fen #1</t>
  </si>
  <si>
    <t>Site 75 Fen #2</t>
  </si>
  <si>
    <t>Site 76 Fen #3 @ site 37</t>
  </si>
  <si>
    <t>Site 61 Fen Upper Pond DEH-11</t>
  </si>
  <si>
    <t>Site 81 Fen #4 S. Parking Lot</t>
  </si>
  <si>
    <t>Site 82 Fen #5 DEH-10</t>
  </si>
  <si>
    <t>Site 61 Fen #6 Upper Pond DEH-11</t>
  </si>
  <si>
    <t>Median</t>
  </si>
  <si>
    <t>2015 Season</t>
  </si>
  <si>
    <t xml:space="preserve">Site </t>
  </si>
  <si>
    <t xml:space="preserve">pH </t>
  </si>
  <si>
    <t xml:space="preserve">Specific Conductance, uS </t>
  </si>
  <si>
    <t xml:space="preserve">Dissolved Oxygen, mg/l </t>
  </si>
  <si>
    <t xml:space="preserve">Total Nitrogen, ug/l </t>
  </si>
  <si>
    <t xml:space="preserve">Total Phosphorus, ug/l </t>
  </si>
  <si>
    <t xml:space="preserve">74 Fen #1, small </t>
  </si>
  <si>
    <t xml:space="preserve">75 Fen #2, medium </t>
  </si>
  <si>
    <t xml:space="preserve">76 Fen #3, larger </t>
  </si>
  <si>
    <t>T Phosphorus</t>
  </si>
  <si>
    <t xml:space="preserve">63 - Bottom Fen </t>
  </si>
  <si>
    <r>
      <t xml:space="preserve">Temperature, </t>
    </r>
    <r>
      <rPr>
        <b/>
        <vertAlign val="superscript"/>
        <sz val="9"/>
        <color rgb="FF000000"/>
        <rFont val="Calibri"/>
        <family val="2"/>
      </rPr>
      <t>0</t>
    </r>
    <r>
      <rPr>
        <b/>
        <sz val="9"/>
        <color rgb="FF000000"/>
        <rFont val="Calibri"/>
        <family val="2"/>
      </rPr>
      <t xml:space="preserve">C </t>
    </r>
  </si>
  <si>
    <r>
      <t>Segment 1a</t>
    </r>
    <r>
      <rPr>
        <sz val="9"/>
        <rFont val="Calibri"/>
        <family val="2"/>
        <scheme val="minor"/>
      </rPr>
      <t> </t>
    </r>
  </si>
  <si>
    <r>
      <t>Segment 1b</t>
    </r>
    <r>
      <rPr>
        <sz val="9"/>
        <rFont val="Calibri"/>
        <family val="2"/>
        <scheme val="minor"/>
      </rPr>
      <t> </t>
    </r>
  </si>
  <si>
    <r>
      <t>Segment 1d</t>
    </r>
    <r>
      <rPr>
        <sz val="9"/>
        <rFont val="Calibri"/>
        <family val="2"/>
        <scheme val="minor"/>
      </rPr>
      <t> </t>
    </r>
  </si>
  <si>
    <r>
      <t>Segment 1e</t>
    </r>
    <r>
      <rPr>
        <sz val="9"/>
        <rFont val="Calibri"/>
        <family val="2"/>
        <scheme val="minor"/>
      </rPr>
      <t> </t>
    </r>
  </si>
  <si>
    <r>
      <t>Segment 2</t>
    </r>
    <r>
      <rPr>
        <sz val="9"/>
        <rFont val="Calibri"/>
        <family val="2"/>
        <scheme val="minor"/>
      </rPr>
      <t> </t>
    </r>
  </si>
  <si>
    <r>
      <t>Segment 3</t>
    </r>
    <r>
      <rPr>
        <sz val="9"/>
        <rFont val="Calibri"/>
        <family val="2"/>
        <scheme val="minor"/>
      </rPr>
      <t> </t>
    </r>
  </si>
  <si>
    <r>
      <t>Segment 4a</t>
    </r>
    <r>
      <rPr>
        <sz val="9"/>
        <rFont val="Calibri"/>
        <family val="2"/>
        <scheme val="minor"/>
      </rPr>
      <t> </t>
    </r>
  </si>
  <si>
    <r>
      <t>Segment 5</t>
    </r>
    <r>
      <rPr>
        <sz val="9"/>
        <rFont val="Calibri"/>
        <family val="2"/>
        <scheme val="minor"/>
      </rPr>
      <t> </t>
    </r>
  </si>
  <si>
    <r>
      <t>Segment 6b</t>
    </r>
    <r>
      <rPr>
        <sz val="9"/>
        <rFont val="Calibri"/>
        <family val="2"/>
        <scheme val="minor"/>
      </rPr>
      <t> </t>
    </r>
  </si>
  <si>
    <r>
      <t>Segments 7 and 8</t>
    </r>
    <r>
      <rPr>
        <sz val="9"/>
        <rFont val="Calibri"/>
        <family val="2"/>
        <scheme val="minor"/>
      </rPr>
      <t> </t>
    </r>
  </si>
  <si>
    <t>Bear Creek Below Mt. Evan Wilderness</t>
  </si>
  <si>
    <t>Site 4a/4e</t>
  </si>
  <si>
    <t>Site 40a/ 40c</t>
  </si>
  <si>
    <t>Bear Creek Reservoir, Profile; Chemistry -1m,+1m</t>
  </si>
  <si>
    <t xml:space="preserve">Evergreen Lake Surface, profile; Chemistry -1m, +1 </t>
  </si>
  <si>
    <t>Site 90</t>
  </si>
  <si>
    <t>Lower Bear Creek Wadsworth</t>
  </si>
  <si>
    <t>(Sheridan)</t>
  </si>
  <si>
    <t xml:space="preserve"> x</t>
  </si>
  <si>
    <t xml:space="preserve">Lower Bear Creek, below reservoir trace/ weir </t>
  </si>
  <si>
    <t xml:space="preserve">CDOW downtown Little Bear site </t>
  </si>
  <si>
    <t>None in 2016</t>
  </si>
  <si>
    <t>Segment 10, 11, and 12 (Lake/ Pond Segments)</t>
  </si>
  <si>
    <t>Watershed Sample Program Site Location by Stream Segment</t>
  </si>
  <si>
    <t xml:space="preserve">Watershed and Special Stream WQ Studies </t>
  </si>
  <si>
    <t>Field Chemistry/ Physical</t>
  </si>
  <si>
    <t>Dissolved Oxygen, YSI Probe</t>
  </si>
  <si>
    <t>Specific Conductivity, YSI Probe</t>
  </si>
  <si>
    <t>Total Suspended Sediments, select sites Spring Runoff</t>
  </si>
  <si>
    <t>pH, YSI Probe</t>
  </si>
  <si>
    <t>Manual Flow/ gage readings</t>
  </si>
  <si>
    <t>Water Clarity - Staining</t>
  </si>
  <si>
    <t xml:space="preserve">Periphyton Coverage </t>
  </si>
  <si>
    <t>Wastewater Treatment Facilities Regulation 85</t>
  </si>
  <si>
    <t>Monitoring Site Survey - Annual Select Sites</t>
  </si>
  <si>
    <t>Habitat Indices</t>
  </si>
  <si>
    <t>Physical Stream Indices</t>
  </si>
  <si>
    <t>Embeddedness</t>
  </si>
  <si>
    <t>BCR and EGL Sediment Survey - Annual Select Sites</t>
  </si>
  <si>
    <t>Sediment TP (Pore Water)</t>
  </si>
  <si>
    <t>Grain Size</t>
  </si>
  <si>
    <t>% TOC (Organics)</t>
  </si>
  <si>
    <t>% Total Solids</t>
  </si>
  <si>
    <t>Total Nitrogen (-1/2m and +1m)</t>
  </si>
  <si>
    <t>Total Phosphorus (-1/2m and +1m)</t>
  </si>
  <si>
    <t>Chlorophyll a (-1/2m only)</t>
  </si>
  <si>
    <t>Zooplankton - annual one vertical tow, species present</t>
  </si>
  <si>
    <t>Total Depth</t>
  </si>
  <si>
    <t xml:space="preserve">Nutrients </t>
  </si>
  <si>
    <t>Phytoplankton (July, August, September; 6 sample sets)</t>
  </si>
  <si>
    <t>BCWA P-1 Monitoring Stations</t>
  </si>
  <si>
    <t>Manual and Gaged</t>
  </si>
  <si>
    <t>Flow/ Discharge (CFS)</t>
  </si>
  <si>
    <t>6 sites</t>
  </si>
  <si>
    <t>BCR Sites</t>
  </si>
  <si>
    <t>E. coli (cts/100ml)</t>
  </si>
  <si>
    <t>X (-1m at Site 40)</t>
  </si>
  <si>
    <t>Biological</t>
  </si>
  <si>
    <t>X (Data Loggers &amp; Field Probe)</t>
  </si>
  <si>
    <t>Sites 15a, 16a, 45 &amp; 90</t>
  </si>
  <si>
    <t>Sites 45 &amp; 90</t>
  </si>
  <si>
    <t>Zooplankton (Presence)</t>
  </si>
  <si>
    <t>X (August)</t>
  </si>
  <si>
    <t>Profiles at sites 40, 41, 42</t>
  </si>
  <si>
    <t>Sites 40, 41, 42</t>
  </si>
  <si>
    <t xml:space="preserve">Top 1-m water </t>
  </si>
  <si>
    <t>Site 91</t>
  </si>
  <si>
    <t>Bear Creek Above Yankee Creek</t>
  </si>
  <si>
    <t>Site 87</t>
  </si>
  <si>
    <t>Wadsworth; 90</t>
  </si>
  <si>
    <t>Turkey</t>
  </si>
  <si>
    <t>c</t>
  </si>
  <si>
    <t>sm</t>
  </si>
  <si>
    <t>SC (us/cm)</t>
  </si>
  <si>
    <t>Bear Creek Keys (cfs) Monthly Avg</t>
  </si>
  <si>
    <t xml:space="preserve">Bear Creek EGL (cfs) daily </t>
  </si>
  <si>
    <t>Flows</t>
  </si>
  <si>
    <t>Specific Conductance (us/cm)</t>
  </si>
  <si>
    <t>m</t>
  </si>
  <si>
    <t>Segmentn 6b</t>
  </si>
  <si>
    <t>Bear Creek Site 90</t>
  </si>
  <si>
    <t>BCR</t>
  </si>
  <si>
    <t>90- Wadsworth</t>
  </si>
  <si>
    <t>90-Wadsworth</t>
  </si>
  <si>
    <t>16a - TC</t>
  </si>
  <si>
    <t>% Coverage</t>
  </si>
  <si>
    <t>Est Thickness</t>
  </si>
  <si>
    <t>Width (ft)</t>
  </si>
  <si>
    <t>15a - BC</t>
  </si>
  <si>
    <t>45 - LBC</t>
  </si>
  <si>
    <t>90 - Wads</t>
  </si>
  <si>
    <t>thin layer of microalgae is visually evident</t>
  </si>
  <si>
    <t>Velocity</t>
  </si>
  <si>
    <t>C</t>
  </si>
  <si>
    <t>3a Keys</t>
  </si>
  <si>
    <t>8a BCC</t>
  </si>
  <si>
    <t>2a Golden</t>
  </si>
  <si>
    <t>Periphyton, %</t>
  </si>
  <si>
    <t>Periphyton, thickness</t>
  </si>
  <si>
    <t>25 Vance</t>
  </si>
  <si>
    <t>13a Idledale</t>
  </si>
  <si>
    <t>14a Morrison</t>
  </si>
  <si>
    <t>18 STC</t>
  </si>
  <si>
    <t>19 NTC</t>
  </si>
  <si>
    <t>64 Trouble Hiwan</t>
  </si>
  <si>
    <t>Harriman</t>
  </si>
  <si>
    <t>Evergreen Keys Green</t>
  </si>
  <si>
    <t xml:space="preserve">TN, TP, Chl, TSS </t>
  </si>
  <si>
    <t>RNC</t>
  </si>
  <si>
    <t>14c BCM</t>
  </si>
  <si>
    <t>Air Temp</t>
  </si>
  <si>
    <t>Elevation</t>
  </si>
  <si>
    <t>Embeddedness %</t>
  </si>
  <si>
    <t>Buffalo</t>
  </si>
  <si>
    <t>Witter</t>
  </si>
  <si>
    <t>Yankee</t>
  </si>
  <si>
    <t>Vance</t>
  </si>
  <si>
    <t>58 Evans 9101/4720</t>
  </si>
  <si>
    <t>Baro Pressure</t>
  </si>
  <si>
    <t>Wind Avg</t>
  </si>
  <si>
    <t>Altitude</t>
  </si>
  <si>
    <t>Wind</t>
  </si>
  <si>
    <t>Wind Speed</t>
  </si>
  <si>
    <t>95 South Fen</t>
  </si>
  <si>
    <t>Site 37 BC Seg 7</t>
  </si>
  <si>
    <t>Site 36 Summit Lake</t>
  </si>
  <si>
    <t>Air</t>
  </si>
  <si>
    <t>Baro</t>
  </si>
  <si>
    <t>Alt</t>
  </si>
  <si>
    <t>notes</t>
  </si>
  <si>
    <t>91-2016 Mean</t>
  </si>
  <si>
    <t>91-2016 Median</t>
  </si>
  <si>
    <t>METHOD</t>
  </si>
  <si>
    <t>QUAL</t>
  </si>
  <si>
    <t>UNITS</t>
  </si>
  <si>
    <t>MDL</t>
  </si>
  <si>
    <t>ANALYZEDATE</t>
  </si>
  <si>
    <t>4a</t>
  </si>
  <si>
    <t>QC 10-107-04-4-B</t>
  </si>
  <si>
    <t>µg/L</t>
  </si>
  <si>
    <t>QC 10-115-01-4-B</t>
  </si>
  <si>
    <t>U</t>
  </si>
  <si>
    <t>mg/L</t>
  </si>
  <si>
    <t>SM 10200 H (mod)</t>
  </si>
  <si>
    <t>Geomean</t>
  </si>
  <si>
    <t>14a</t>
  </si>
  <si>
    <t>Dissolved Copper</t>
  </si>
  <si>
    <t>EPA 200.8</t>
  </si>
  <si>
    <t>J</t>
  </si>
  <si>
    <t>Hardness as CaCO3</t>
  </si>
  <si>
    <t>SM 2340 C</t>
  </si>
  <si>
    <t>14c</t>
  </si>
  <si>
    <t>Water Temperature C</t>
  </si>
  <si>
    <t>Air Temperature C</t>
  </si>
  <si>
    <t>Discharge</t>
  </si>
  <si>
    <t>47a</t>
  </si>
  <si>
    <t>47b</t>
  </si>
  <si>
    <t>Water Temp °C</t>
  </si>
  <si>
    <t>Air Temp °C</t>
  </si>
  <si>
    <t xml:space="preserve">Site 63 - Bottom Fen </t>
  </si>
  <si>
    <t>Site 95 - Control Fen</t>
  </si>
  <si>
    <t>16a</t>
  </si>
  <si>
    <t>15a</t>
  </si>
  <si>
    <t>40a</t>
  </si>
  <si>
    <t>40c</t>
  </si>
  <si>
    <t>Lower Bear Creek, Wadsworth Site 90</t>
  </si>
  <si>
    <t>Site 90 - Lower Bear Creek</t>
  </si>
  <si>
    <t>2015 TN</t>
  </si>
  <si>
    <t>2014 TN</t>
  </si>
  <si>
    <t>2013 TN</t>
  </si>
  <si>
    <t>2012 TN</t>
  </si>
  <si>
    <t>2011 TN</t>
  </si>
  <si>
    <t>Site 14c</t>
  </si>
  <si>
    <t>Mainstem Bear Creek, Morrison Park west</t>
  </si>
  <si>
    <t>Mainstem Bear Creek, Morrison at Harriman</t>
  </si>
  <si>
    <t>Dissolved Copper, ug/l</t>
  </si>
  <si>
    <t>Hardness as CaCO3, mg/l</t>
  </si>
  <si>
    <t>Metal</t>
  </si>
  <si>
    <t>Aquatic Life</t>
  </si>
  <si>
    <t>Water Supply</t>
  </si>
  <si>
    <t>Agriculture</t>
  </si>
  <si>
    <t>"J" Flag</t>
  </si>
  <si>
    <t>Chronic</t>
  </si>
  <si>
    <t>Acute*</t>
  </si>
  <si>
    <t>(TREC)</t>
  </si>
  <si>
    <t>Cu-D</t>
  </si>
  <si>
    <t>e (0.819(ln(hardness))-1.7428</t>
  </si>
  <si>
    <t>Hardness</t>
  </si>
  <si>
    <t>ln</t>
  </si>
  <si>
    <t>Chronic Cu-D Standard</t>
  </si>
  <si>
    <t>Standard Deviation</t>
  </si>
  <si>
    <t>Phosphorus Standard</t>
  </si>
  <si>
    <t>Chlorophyll Standard</t>
  </si>
  <si>
    <t>DO Compliance (mg/l)</t>
  </si>
  <si>
    <t>Est Periphyton Thickness</t>
  </si>
  <si>
    <t>Cryptomonas erosa</t>
  </si>
  <si>
    <t>Microcystis aeruginosa</t>
  </si>
  <si>
    <t>Melosira granulata</t>
  </si>
  <si>
    <t>Site 16a-Turkey Creek</t>
  </si>
  <si>
    <t>Site 15a-Bear Creek</t>
  </si>
  <si>
    <t>Total</t>
  </si>
  <si>
    <t>All Fens</t>
  </si>
  <si>
    <t>Control Fen</t>
  </si>
  <si>
    <t>Northern Fens</t>
  </si>
  <si>
    <t>Site 63 -Plume Fen</t>
  </si>
  <si>
    <t>Site 95 Southern Control</t>
  </si>
  <si>
    <t>Seg 1a</t>
  </si>
  <si>
    <t>Seg 3</t>
  </si>
  <si>
    <t>Seg 1e</t>
  </si>
  <si>
    <t>Seg 4a</t>
  </si>
  <si>
    <t>Seg 5</t>
  </si>
  <si>
    <t>Seg 6a</t>
  </si>
  <si>
    <t>Seg 6b</t>
  </si>
  <si>
    <t>Season</t>
  </si>
  <si>
    <t>1e</t>
  </si>
  <si>
    <t>Average Hardness</t>
  </si>
  <si>
    <t>Acute</t>
  </si>
  <si>
    <t>Acute Cu-D Standard</t>
  </si>
  <si>
    <t xml:space="preserve">Table 1: Multimetric Index (MMI) scores for Bear Creek sites (Biotype 1- Transitional) sampled in August 2016.  Attainment and impairment thresholds for sites in Biotype 1 are 52 and 42, respectively. </t>
  </si>
  <si>
    <t>Site 15a- BCP</t>
  </si>
  <si>
    <t>Site 14a-Morrison</t>
  </si>
  <si>
    <t>Site 13a- Idledale</t>
  </si>
  <si>
    <t>Site 12- Lair O'Bear</t>
  </si>
  <si>
    <t>Site 9- O'Fallon</t>
  </si>
  <si>
    <t>Site 8b- BCC</t>
  </si>
  <si>
    <t>Site 5- Little Bear</t>
  </si>
  <si>
    <t>Site 3a- Keys</t>
  </si>
  <si>
    <t>Site 2a- Golden Willow</t>
  </si>
  <si>
    <t>Site 58- Above SRR</t>
  </si>
  <si>
    <t>Site 90- Wadsworth</t>
  </si>
  <si>
    <t>Site Variables</t>
  </si>
  <si>
    <t>Ecoregion</t>
  </si>
  <si>
    <t>21d</t>
  </si>
  <si>
    <t>21c</t>
  </si>
  <si>
    <t>25l</t>
  </si>
  <si>
    <t>Elevation (meters)</t>
  </si>
  <si>
    <t>Slope</t>
  </si>
  <si>
    <t>MMI Metric Values</t>
  </si>
  <si>
    <t>Percent non-insect taxa</t>
  </si>
  <si>
    <t>Percent Chironomidae</t>
  </si>
  <si>
    <t>Percent Sensitive Family Plains</t>
  </si>
  <si>
    <t>Predator, Shredder Taxa</t>
  </si>
  <si>
    <t>MMI Metric Scores</t>
  </si>
  <si>
    <t>Total MMI Score</t>
  </si>
  <si>
    <t>Additional Metrics</t>
  </si>
  <si>
    <t>Hilsenhoff Biotic Index</t>
  </si>
  <si>
    <t>Shannon-Diversity Index</t>
  </si>
  <si>
    <r>
      <t>EP taxa</t>
    </r>
    <r>
      <rPr>
        <vertAlign val="superscript"/>
        <sz val="9"/>
        <color theme="1"/>
        <rFont val="Times New Roman"/>
        <family val="1"/>
      </rPr>
      <t>1</t>
    </r>
  </si>
  <si>
    <r>
      <t>Clinger Taxa</t>
    </r>
    <r>
      <rPr>
        <vertAlign val="superscript"/>
        <sz val="9"/>
        <color theme="1"/>
        <rFont val="Times New Roman"/>
        <family val="1"/>
      </rPr>
      <t>1</t>
    </r>
  </si>
  <si>
    <r>
      <rPr>
        <vertAlign val="superscript"/>
        <sz val="9"/>
        <color theme="1"/>
        <rFont val="Times New Roman"/>
        <family val="1"/>
      </rPr>
      <t>1</t>
    </r>
    <r>
      <rPr>
        <sz val="9"/>
        <color theme="1"/>
        <rFont val="Times New Roman"/>
        <family val="1"/>
      </rPr>
      <t xml:space="preserve"> =  Elevation adjusted metric</t>
    </r>
  </si>
  <si>
    <t>95th Percentile</t>
  </si>
  <si>
    <t>Cub Creek, Upstream @ Brookforest Inn</t>
  </si>
  <si>
    <t>NO3-NO2 Ug/l</t>
  </si>
  <si>
    <t>Ammonia Ug/l</t>
  </si>
  <si>
    <t>Site 79</t>
  </si>
  <si>
    <t>Upper West Troublsome Below West Jeff</t>
  </si>
  <si>
    <t>Site 80</t>
  </si>
  <si>
    <t>Troublesome below confluence</t>
  </si>
  <si>
    <t>2013-2016 Average</t>
  </si>
  <si>
    <t>Flow cfs</t>
  </si>
  <si>
    <t>Total Phosphorus pounds/month</t>
  </si>
  <si>
    <t>Total Phosphorus ug/l</t>
  </si>
  <si>
    <t>Total Nitrogen pounds/month</t>
  </si>
  <si>
    <t>Seasonal</t>
  </si>
  <si>
    <t>% Increase</t>
  </si>
  <si>
    <t>Season Average</t>
  </si>
  <si>
    <t>ug/l</t>
  </si>
  <si>
    <t>jun</t>
  </si>
  <si>
    <t>jul</t>
  </si>
  <si>
    <t>aug</t>
  </si>
  <si>
    <t>Flow ac-ft/month</t>
  </si>
  <si>
    <t>Pounds</t>
  </si>
  <si>
    <r>
      <t xml:space="preserve">20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</si>
  <si>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5.5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</si>
  <si>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5.8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</si>
  <si>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Ice </t>
    </r>
    <r>
      <rPr>
        <vertAlign val="superscript"/>
        <sz val="11"/>
        <rFont val="Times New Roman"/>
        <family val="2"/>
      </rPr>
      <t>P</t>
    </r>
  </si>
  <si>
    <r>
      <t xml:space="preserve">30 </t>
    </r>
    <r>
      <rPr>
        <vertAlign val="superscript"/>
        <sz val="11"/>
        <rFont val="Times New Roman"/>
        <family val="2"/>
      </rPr>
      <t>P</t>
    </r>
  </si>
  <si>
    <r>
      <t xml:space="preserve">40 </t>
    </r>
    <r>
      <rPr>
        <vertAlign val="superscript"/>
        <sz val="11"/>
        <rFont val="Times New Roman"/>
        <family val="2"/>
      </rPr>
      <t>P</t>
    </r>
  </si>
  <si>
    <r>
      <t xml:space="preserve">23 </t>
    </r>
    <r>
      <rPr>
        <vertAlign val="superscript"/>
        <sz val="11"/>
        <rFont val="Times New Roman"/>
        <family val="2"/>
      </rPr>
      <t>P</t>
    </r>
  </si>
  <si>
    <r>
      <t xml:space="preserve">24 </t>
    </r>
    <r>
      <rPr>
        <vertAlign val="superscript"/>
        <sz val="11"/>
        <rFont val="Times New Roman"/>
        <family val="2"/>
      </rPr>
      <t>P</t>
    </r>
  </si>
  <si>
    <r>
      <t xml:space="preserve">48 </t>
    </r>
    <r>
      <rPr>
        <vertAlign val="superscript"/>
        <sz val="11"/>
        <rFont val="Times New Roman"/>
        <family val="2"/>
      </rPr>
      <t>P</t>
    </r>
  </si>
  <si>
    <r>
      <t xml:space="preserve">142 </t>
    </r>
    <r>
      <rPr>
        <vertAlign val="superscript"/>
        <sz val="11"/>
        <rFont val="Times New Roman"/>
        <family val="2"/>
      </rPr>
      <t>P</t>
    </r>
  </si>
  <si>
    <r>
      <t xml:space="preserve">46 </t>
    </r>
    <r>
      <rPr>
        <vertAlign val="superscript"/>
        <sz val="11"/>
        <rFont val="Times New Roman"/>
        <family val="2"/>
      </rPr>
      <t>P</t>
    </r>
  </si>
  <si>
    <r>
      <t xml:space="preserve">16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</si>
  <si>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5.1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</si>
  <si>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5.9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</si>
  <si>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15 </t>
    </r>
    <r>
      <rPr>
        <vertAlign val="superscript"/>
        <sz val="11"/>
        <rFont val="Times New Roman"/>
        <family val="2"/>
      </rPr>
      <t>P</t>
    </r>
  </si>
  <si>
    <r>
      <t xml:space="preserve">42 </t>
    </r>
    <r>
      <rPr>
        <vertAlign val="superscript"/>
        <sz val="11"/>
        <rFont val="Times New Roman"/>
        <family val="2"/>
      </rPr>
      <t>P</t>
    </r>
  </si>
  <si>
    <r>
      <t xml:space="preserve">28 </t>
    </r>
    <r>
      <rPr>
        <vertAlign val="superscript"/>
        <sz val="11"/>
        <rFont val="Times New Roman"/>
        <family val="2"/>
      </rPr>
      <t>P</t>
    </r>
  </si>
  <si>
    <r>
      <t xml:space="preserve">133 </t>
    </r>
    <r>
      <rPr>
        <vertAlign val="superscript"/>
        <sz val="11"/>
        <rFont val="Times New Roman"/>
        <family val="2"/>
      </rPr>
      <t>P</t>
    </r>
  </si>
  <si>
    <r>
      <t xml:space="preserve">45 </t>
    </r>
    <r>
      <rPr>
        <vertAlign val="superscript"/>
        <sz val="11"/>
        <rFont val="Times New Roman"/>
        <family val="2"/>
      </rPr>
      <t>P</t>
    </r>
  </si>
  <si>
    <r>
      <t xml:space="preserve">18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</si>
  <si>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22 </t>
    </r>
    <r>
      <rPr>
        <vertAlign val="superscript"/>
        <sz val="11"/>
        <rFont val="Times New Roman"/>
        <family val="2"/>
      </rPr>
      <t>P</t>
    </r>
  </si>
  <si>
    <r>
      <t xml:space="preserve">124 </t>
    </r>
    <r>
      <rPr>
        <vertAlign val="superscript"/>
        <sz val="11"/>
        <rFont val="Times New Roman"/>
        <family val="2"/>
      </rPr>
      <t>P</t>
    </r>
  </si>
  <si>
    <r>
      <t xml:space="preserve">14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</si>
  <si>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4.9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</si>
  <si>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6.0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</si>
  <si>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13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P</t>
    </r>
  </si>
  <si>
    <r>
      <t xml:space="preserve">26 </t>
    </r>
    <r>
      <rPr>
        <vertAlign val="superscript"/>
        <sz val="11"/>
        <rFont val="Times New Roman"/>
        <family val="2"/>
      </rPr>
      <t>P</t>
    </r>
  </si>
  <si>
    <r>
      <t xml:space="preserve">53 </t>
    </r>
    <r>
      <rPr>
        <vertAlign val="superscript"/>
        <sz val="11"/>
        <rFont val="Times New Roman"/>
        <family val="2"/>
      </rPr>
      <t>P</t>
    </r>
  </si>
  <si>
    <r>
      <t xml:space="preserve">25 </t>
    </r>
    <r>
      <rPr>
        <vertAlign val="superscript"/>
        <sz val="11"/>
        <rFont val="Times New Roman"/>
        <family val="2"/>
      </rPr>
      <t>P</t>
    </r>
  </si>
  <si>
    <r>
      <t xml:space="preserve">43 </t>
    </r>
    <r>
      <rPr>
        <vertAlign val="superscript"/>
        <sz val="11"/>
        <rFont val="Times New Roman"/>
        <family val="2"/>
      </rPr>
      <t>P</t>
    </r>
  </si>
  <si>
    <r>
      <t xml:space="preserve">13 </t>
    </r>
    <r>
      <rPr>
        <vertAlign val="superscript"/>
        <sz val="11"/>
        <rFont val="Times New Roman"/>
        <family val="2"/>
      </rPr>
      <t>P</t>
    </r>
  </si>
  <si>
    <r>
      <t xml:space="preserve">56 </t>
    </r>
    <r>
      <rPr>
        <vertAlign val="superscript"/>
        <sz val="11"/>
        <rFont val="Times New Roman"/>
        <family val="2"/>
      </rPr>
      <t>P</t>
    </r>
  </si>
  <si>
    <r>
      <t xml:space="preserve">29 </t>
    </r>
    <r>
      <rPr>
        <vertAlign val="superscript"/>
        <sz val="11"/>
        <rFont val="Times New Roman"/>
        <family val="2"/>
      </rPr>
      <t>P</t>
    </r>
  </si>
  <si>
    <r>
      <t xml:space="preserve">118 </t>
    </r>
    <r>
      <rPr>
        <vertAlign val="superscript"/>
        <sz val="11"/>
        <rFont val="Times New Roman"/>
        <family val="2"/>
      </rPr>
      <t>P</t>
    </r>
  </si>
  <si>
    <r>
      <t xml:space="preserve">11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</si>
  <si>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6.5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</si>
  <si>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5.7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</si>
  <si>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27 </t>
    </r>
    <r>
      <rPr>
        <vertAlign val="superscript"/>
        <sz val="11"/>
        <rFont val="Times New Roman"/>
        <family val="2"/>
      </rPr>
      <t>P</t>
    </r>
  </si>
  <si>
    <r>
      <t xml:space="preserve">112 </t>
    </r>
    <r>
      <rPr>
        <vertAlign val="superscript"/>
        <sz val="11"/>
        <rFont val="Times New Roman"/>
        <family val="2"/>
      </rPr>
      <t>P</t>
    </r>
  </si>
  <si>
    <r>
      <t xml:space="preserve">10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</si>
  <si>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6.4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</si>
  <si>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106 </t>
    </r>
    <r>
      <rPr>
        <vertAlign val="superscript"/>
        <sz val="11"/>
        <rFont val="Times New Roman"/>
        <family val="2"/>
      </rPr>
      <t>P</t>
    </r>
  </si>
  <si>
    <r>
      <t xml:space="preserve">7.8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</si>
  <si>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6.7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</si>
  <si>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31 </t>
    </r>
    <r>
      <rPr>
        <vertAlign val="superscript"/>
        <sz val="11"/>
        <rFont val="Times New Roman"/>
        <family val="2"/>
      </rPr>
      <t>P</t>
    </r>
  </si>
  <si>
    <r>
      <t xml:space="preserve">44 </t>
    </r>
    <r>
      <rPr>
        <vertAlign val="superscript"/>
        <sz val="11"/>
        <rFont val="Times New Roman"/>
        <family val="2"/>
      </rPr>
      <t>P</t>
    </r>
  </si>
  <si>
    <r>
      <t xml:space="preserve">39 </t>
    </r>
    <r>
      <rPr>
        <vertAlign val="superscript"/>
        <sz val="11"/>
        <rFont val="Times New Roman"/>
        <family val="2"/>
      </rPr>
      <t>P</t>
    </r>
  </si>
  <si>
    <r>
      <t xml:space="preserve">100 </t>
    </r>
    <r>
      <rPr>
        <vertAlign val="superscript"/>
        <sz val="11"/>
        <rFont val="Times New Roman"/>
        <family val="2"/>
      </rPr>
      <t>P</t>
    </r>
  </si>
  <si>
    <r>
      <t xml:space="preserve">7.5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</si>
  <si>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11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P</t>
    </r>
  </si>
  <si>
    <r>
      <t xml:space="preserve">52 </t>
    </r>
    <r>
      <rPr>
        <vertAlign val="superscript"/>
        <sz val="11"/>
        <rFont val="Times New Roman"/>
        <family val="2"/>
      </rPr>
      <t>P</t>
    </r>
  </si>
  <si>
    <r>
      <t xml:space="preserve">93 </t>
    </r>
    <r>
      <rPr>
        <vertAlign val="superscript"/>
        <sz val="11"/>
        <rFont val="Times New Roman"/>
        <family val="2"/>
      </rPr>
      <t>P</t>
    </r>
  </si>
  <si>
    <r>
      <t xml:space="preserve">41 </t>
    </r>
    <r>
      <rPr>
        <vertAlign val="superscript"/>
        <sz val="11"/>
        <rFont val="Times New Roman"/>
        <family val="2"/>
      </rPr>
      <t>P</t>
    </r>
  </si>
  <si>
    <r>
      <t xml:space="preserve">7.1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</si>
  <si>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54 </t>
    </r>
    <r>
      <rPr>
        <vertAlign val="superscript"/>
        <sz val="11"/>
        <rFont val="Times New Roman"/>
        <family val="2"/>
      </rPr>
      <t>P</t>
    </r>
  </si>
  <si>
    <r>
      <t xml:space="preserve">155 </t>
    </r>
    <r>
      <rPr>
        <vertAlign val="superscript"/>
        <sz val="11"/>
        <rFont val="Times New Roman"/>
        <family val="2"/>
      </rPr>
      <t>P</t>
    </r>
  </si>
  <si>
    <r>
      <t xml:space="preserve">91 </t>
    </r>
    <r>
      <rPr>
        <vertAlign val="superscript"/>
        <sz val="11"/>
        <rFont val="Times New Roman"/>
        <family val="2"/>
      </rPr>
      <t>P</t>
    </r>
  </si>
  <si>
    <r>
      <t xml:space="preserve">7.2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</si>
  <si>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6.6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</si>
  <si>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12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P</t>
    </r>
  </si>
  <si>
    <r>
      <t xml:space="preserve">58 </t>
    </r>
    <r>
      <rPr>
        <vertAlign val="superscript"/>
        <sz val="11"/>
        <rFont val="Times New Roman"/>
        <family val="2"/>
      </rPr>
      <t>P</t>
    </r>
  </si>
  <si>
    <r>
      <t xml:space="preserve">305 </t>
    </r>
    <r>
      <rPr>
        <vertAlign val="superscript"/>
        <sz val="11"/>
        <rFont val="Times New Roman"/>
        <family val="2"/>
      </rPr>
      <t>P</t>
    </r>
  </si>
  <si>
    <r>
      <t xml:space="preserve">86 </t>
    </r>
    <r>
      <rPr>
        <vertAlign val="superscript"/>
        <sz val="11"/>
        <rFont val="Times New Roman"/>
        <family val="2"/>
      </rPr>
      <t>P</t>
    </r>
  </si>
  <si>
    <r>
      <t xml:space="preserve">37 </t>
    </r>
    <r>
      <rPr>
        <vertAlign val="superscript"/>
        <sz val="11"/>
        <rFont val="Times New Roman"/>
        <family val="2"/>
      </rPr>
      <t>P</t>
    </r>
  </si>
  <si>
    <r>
      <t xml:space="preserve">8.1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</si>
  <si>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64 </t>
    </r>
    <r>
      <rPr>
        <vertAlign val="superscript"/>
        <sz val="11"/>
        <rFont val="Times New Roman"/>
        <family val="2"/>
      </rPr>
      <t>P</t>
    </r>
  </si>
  <si>
    <r>
      <t xml:space="preserve">38 </t>
    </r>
    <r>
      <rPr>
        <vertAlign val="superscript"/>
        <sz val="11"/>
        <rFont val="Times New Roman"/>
        <family val="2"/>
      </rPr>
      <t>P</t>
    </r>
  </si>
  <si>
    <r>
      <t xml:space="preserve">66 </t>
    </r>
    <r>
      <rPr>
        <vertAlign val="superscript"/>
        <sz val="11"/>
        <rFont val="Times New Roman"/>
        <family val="2"/>
      </rPr>
      <t>P</t>
    </r>
  </si>
  <si>
    <r>
      <t xml:space="preserve">32 </t>
    </r>
    <r>
      <rPr>
        <vertAlign val="superscript"/>
        <sz val="11"/>
        <rFont val="Times New Roman"/>
        <family val="2"/>
      </rPr>
      <t>P</t>
    </r>
  </si>
  <si>
    <r>
      <t xml:space="preserve">423 </t>
    </r>
    <r>
      <rPr>
        <vertAlign val="superscript"/>
        <sz val="11"/>
        <rFont val="Times New Roman"/>
        <family val="2"/>
      </rPr>
      <t>P</t>
    </r>
  </si>
  <si>
    <r>
      <t xml:space="preserve">82 </t>
    </r>
    <r>
      <rPr>
        <vertAlign val="superscript"/>
        <sz val="11"/>
        <rFont val="Times New Roman"/>
        <family val="2"/>
      </rPr>
      <t>P</t>
    </r>
  </si>
  <si>
    <r>
      <t xml:space="preserve">9.3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</si>
  <si>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6.1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</si>
  <si>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78 </t>
    </r>
    <r>
      <rPr>
        <vertAlign val="superscript"/>
        <sz val="11"/>
        <rFont val="Times New Roman"/>
        <family val="2"/>
      </rPr>
      <t>P</t>
    </r>
  </si>
  <si>
    <r>
      <t xml:space="preserve">36 </t>
    </r>
    <r>
      <rPr>
        <vertAlign val="superscript"/>
        <sz val="11"/>
        <rFont val="Times New Roman"/>
        <family val="2"/>
      </rPr>
      <t>P</t>
    </r>
  </si>
  <si>
    <r>
      <t xml:space="preserve">1,140 </t>
    </r>
    <r>
      <rPr>
        <vertAlign val="superscript"/>
        <sz val="11"/>
        <rFont val="Times New Roman"/>
        <family val="2"/>
      </rPr>
      <t>P</t>
    </r>
  </si>
  <si>
    <r>
      <t xml:space="preserve">80 </t>
    </r>
    <r>
      <rPr>
        <vertAlign val="superscript"/>
        <sz val="11"/>
        <rFont val="Times New Roman"/>
        <family val="2"/>
      </rPr>
      <t>P</t>
    </r>
  </si>
  <si>
    <r>
      <t xml:space="preserve">9.5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</si>
  <si>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6.2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</si>
  <si>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10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P</t>
    </r>
  </si>
  <si>
    <r>
      <t xml:space="preserve">94 </t>
    </r>
    <r>
      <rPr>
        <vertAlign val="superscript"/>
        <sz val="11"/>
        <rFont val="Times New Roman"/>
        <family val="2"/>
      </rPr>
      <t>P</t>
    </r>
  </si>
  <si>
    <r>
      <t xml:space="preserve">34 </t>
    </r>
    <r>
      <rPr>
        <vertAlign val="superscript"/>
        <sz val="11"/>
        <rFont val="Times New Roman"/>
        <family val="2"/>
      </rPr>
      <t>P</t>
    </r>
  </si>
  <si>
    <r>
      <t xml:space="preserve">49 </t>
    </r>
    <r>
      <rPr>
        <vertAlign val="superscript"/>
        <sz val="11"/>
        <rFont val="Times New Roman"/>
        <family val="2"/>
      </rPr>
      <t>P</t>
    </r>
  </si>
  <si>
    <r>
      <t xml:space="preserve">844 </t>
    </r>
    <r>
      <rPr>
        <vertAlign val="superscript"/>
        <sz val="11"/>
        <rFont val="Times New Roman"/>
        <family val="2"/>
      </rPr>
      <t>P</t>
    </r>
  </si>
  <si>
    <r>
      <t xml:space="preserve">77 </t>
    </r>
    <r>
      <rPr>
        <vertAlign val="superscript"/>
        <sz val="11"/>
        <rFont val="Times New Roman"/>
        <family val="2"/>
      </rPr>
      <t>P</t>
    </r>
  </si>
  <si>
    <r>
      <t xml:space="preserve">23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</si>
  <si>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9.8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</si>
  <si>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9.4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P</t>
    </r>
  </si>
  <si>
    <r>
      <t xml:space="preserve">99 </t>
    </r>
    <r>
      <rPr>
        <vertAlign val="superscript"/>
        <sz val="11"/>
        <rFont val="Times New Roman"/>
        <family val="2"/>
      </rPr>
      <t>P</t>
    </r>
  </si>
  <si>
    <r>
      <t xml:space="preserve">968 </t>
    </r>
    <r>
      <rPr>
        <vertAlign val="superscript"/>
        <sz val="11"/>
        <rFont val="Times New Roman"/>
        <family val="2"/>
      </rPr>
      <t>P</t>
    </r>
  </si>
  <si>
    <r>
      <t xml:space="preserve">74 </t>
    </r>
    <r>
      <rPr>
        <vertAlign val="superscript"/>
        <sz val="11"/>
        <rFont val="Times New Roman"/>
        <family val="2"/>
      </rPr>
      <t>P</t>
    </r>
  </si>
  <si>
    <r>
      <t xml:space="preserve">22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</si>
  <si>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9.6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</si>
  <si>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9.3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P</t>
    </r>
  </si>
  <si>
    <r>
      <t xml:space="preserve">33 </t>
    </r>
    <r>
      <rPr>
        <vertAlign val="superscript"/>
        <sz val="11"/>
        <rFont val="Times New Roman"/>
        <family val="2"/>
      </rPr>
      <t>P</t>
    </r>
  </si>
  <si>
    <r>
      <t xml:space="preserve">1,020 </t>
    </r>
    <r>
      <rPr>
        <vertAlign val="superscript"/>
        <sz val="11"/>
        <rFont val="Times New Roman"/>
        <family val="2"/>
      </rPr>
      <t>P</t>
    </r>
  </si>
  <si>
    <r>
      <t xml:space="preserve">72 </t>
    </r>
    <r>
      <rPr>
        <vertAlign val="superscript"/>
        <sz val="11"/>
        <rFont val="Times New Roman"/>
        <family val="2"/>
      </rPr>
      <t>P</t>
    </r>
  </si>
  <si>
    <r>
      <t xml:space="preserve">9.9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</si>
  <si>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108 </t>
    </r>
    <r>
      <rPr>
        <vertAlign val="superscript"/>
        <sz val="11"/>
        <rFont val="Times New Roman"/>
        <family val="2"/>
      </rPr>
      <t>P</t>
    </r>
  </si>
  <si>
    <r>
      <t xml:space="preserve">781 </t>
    </r>
    <r>
      <rPr>
        <vertAlign val="superscript"/>
        <sz val="11"/>
        <rFont val="Times New Roman"/>
        <family val="2"/>
      </rPr>
      <t>P</t>
    </r>
  </si>
  <si>
    <r>
      <t xml:space="preserve">68 </t>
    </r>
    <r>
      <rPr>
        <vertAlign val="superscript"/>
        <sz val="11"/>
        <rFont val="Times New Roman"/>
        <family val="2"/>
      </rPr>
      <t>P</t>
    </r>
  </si>
  <si>
    <r>
      <t xml:space="preserve">9.7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</si>
  <si>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105 </t>
    </r>
    <r>
      <rPr>
        <vertAlign val="superscript"/>
        <sz val="11"/>
        <rFont val="Times New Roman"/>
        <family val="2"/>
      </rPr>
      <t>P</t>
    </r>
  </si>
  <si>
    <r>
      <t xml:space="preserve">618 </t>
    </r>
    <r>
      <rPr>
        <vertAlign val="superscript"/>
        <sz val="11"/>
        <rFont val="Times New Roman"/>
        <family val="2"/>
      </rPr>
      <t>P</t>
    </r>
  </si>
  <si>
    <r>
      <t xml:space="preserve">13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</si>
  <si>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8.0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</si>
  <si>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76 </t>
    </r>
    <r>
      <rPr>
        <vertAlign val="superscript"/>
        <sz val="11"/>
        <rFont val="Times New Roman"/>
        <family val="2"/>
      </rPr>
      <t>P</t>
    </r>
  </si>
  <si>
    <r>
      <t xml:space="preserve">506 </t>
    </r>
    <r>
      <rPr>
        <vertAlign val="superscript"/>
        <sz val="11"/>
        <rFont val="Times New Roman"/>
        <family val="2"/>
      </rPr>
      <t>P</t>
    </r>
  </si>
  <si>
    <r>
      <t xml:space="preserve">7.3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</si>
  <si>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70 </t>
    </r>
    <r>
      <rPr>
        <vertAlign val="superscript"/>
        <sz val="11"/>
        <rFont val="Times New Roman"/>
        <family val="2"/>
      </rPr>
      <t>P</t>
    </r>
  </si>
  <si>
    <r>
      <t xml:space="preserve">438 </t>
    </r>
    <r>
      <rPr>
        <vertAlign val="superscript"/>
        <sz val="11"/>
        <rFont val="Times New Roman"/>
        <family val="2"/>
      </rPr>
      <t>P</t>
    </r>
  </si>
  <si>
    <r>
      <t xml:space="preserve">7.0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</si>
  <si>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61 </t>
    </r>
    <r>
      <rPr>
        <vertAlign val="superscript"/>
        <sz val="11"/>
        <rFont val="Times New Roman"/>
        <family val="2"/>
      </rPr>
      <t>P</t>
    </r>
  </si>
  <si>
    <r>
      <t xml:space="preserve">385 </t>
    </r>
    <r>
      <rPr>
        <vertAlign val="superscript"/>
        <sz val="11"/>
        <rFont val="Times New Roman"/>
        <family val="2"/>
      </rPr>
      <t>P</t>
    </r>
  </si>
  <si>
    <r>
      <t xml:space="preserve">62 </t>
    </r>
    <r>
      <rPr>
        <vertAlign val="superscript"/>
        <sz val="11"/>
        <rFont val="Times New Roman"/>
        <family val="2"/>
      </rPr>
      <t>P</t>
    </r>
  </si>
  <si>
    <r>
      <t xml:space="preserve">5.3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</si>
  <si>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5.6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</si>
  <si>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15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P</t>
    </r>
  </si>
  <si>
    <r>
      <t xml:space="preserve">63 </t>
    </r>
    <r>
      <rPr>
        <vertAlign val="superscript"/>
        <sz val="11"/>
        <rFont val="Times New Roman"/>
        <family val="2"/>
      </rPr>
      <t>P</t>
    </r>
  </si>
  <si>
    <r>
      <t xml:space="preserve">342 </t>
    </r>
    <r>
      <rPr>
        <vertAlign val="superscript"/>
        <sz val="11"/>
        <rFont val="Times New Roman"/>
        <family val="2"/>
      </rPr>
      <t>P</t>
    </r>
  </si>
  <si>
    <r>
      <t xml:space="preserve">59 </t>
    </r>
    <r>
      <rPr>
        <vertAlign val="superscript"/>
        <sz val="11"/>
        <rFont val="Times New Roman"/>
        <family val="2"/>
      </rPr>
      <t>P</t>
    </r>
  </si>
  <si>
    <r>
      <t xml:space="preserve">17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</si>
  <si>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5.0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</si>
  <si>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14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P</t>
    </r>
  </si>
  <si>
    <r>
      <t xml:space="preserve">21 </t>
    </r>
    <r>
      <rPr>
        <vertAlign val="superscript"/>
        <sz val="11"/>
        <rFont val="Times New Roman"/>
        <family val="2"/>
      </rPr>
      <t>P</t>
    </r>
  </si>
  <si>
    <r>
      <t xml:space="preserve">313 </t>
    </r>
    <r>
      <rPr>
        <vertAlign val="superscript"/>
        <sz val="11"/>
        <rFont val="Times New Roman"/>
        <family val="2"/>
      </rPr>
      <t>P</t>
    </r>
  </si>
  <si>
    <r>
      <t xml:space="preserve">17 </t>
    </r>
    <r>
      <rPr>
        <vertAlign val="superscript"/>
        <sz val="11"/>
        <rFont val="Times New Roman"/>
        <family val="2"/>
      </rPr>
      <t>P</t>
    </r>
  </si>
  <si>
    <r>
      <t xml:space="preserve">79 </t>
    </r>
    <r>
      <rPr>
        <vertAlign val="superscript"/>
        <sz val="11"/>
        <rFont val="Times New Roman"/>
        <family val="2"/>
      </rPr>
      <t>P</t>
    </r>
  </si>
  <si>
    <r>
      <t xml:space="preserve">264 </t>
    </r>
    <r>
      <rPr>
        <vertAlign val="superscript"/>
        <sz val="11"/>
        <rFont val="Times New Roman"/>
        <family val="2"/>
      </rPr>
      <t>P</t>
    </r>
  </si>
  <si>
    <r>
      <t xml:space="preserve">5.4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</si>
  <si>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238 </t>
    </r>
    <r>
      <rPr>
        <vertAlign val="superscript"/>
        <sz val="11"/>
        <rFont val="Times New Roman"/>
        <family val="2"/>
      </rPr>
      <t>P</t>
    </r>
  </si>
  <si>
    <r>
      <t xml:space="preserve">16 </t>
    </r>
    <r>
      <rPr>
        <vertAlign val="superscript"/>
        <sz val="11"/>
        <rFont val="Times New Roman"/>
        <family val="2"/>
      </rPr>
      <t>P</t>
    </r>
  </si>
  <si>
    <r>
      <t xml:space="preserve">214 </t>
    </r>
    <r>
      <rPr>
        <vertAlign val="superscript"/>
        <sz val="11"/>
        <rFont val="Times New Roman"/>
        <family val="2"/>
      </rPr>
      <t>P</t>
    </r>
  </si>
  <si>
    <r>
      <t xml:space="preserve">19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</si>
  <si>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69 </t>
    </r>
    <r>
      <rPr>
        <vertAlign val="superscript"/>
        <sz val="11"/>
        <rFont val="Times New Roman"/>
        <family val="2"/>
      </rPr>
      <t>P</t>
    </r>
  </si>
  <si>
    <r>
      <t xml:space="preserve">51 </t>
    </r>
    <r>
      <rPr>
        <vertAlign val="superscript"/>
        <sz val="11"/>
        <rFont val="Times New Roman"/>
        <family val="2"/>
      </rPr>
      <t>P</t>
    </r>
  </si>
  <si>
    <r>
      <t xml:space="preserve">203 </t>
    </r>
    <r>
      <rPr>
        <vertAlign val="superscript"/>
        <sz val="11"/>
        <rFont val="Times New Roman"/>
        <family val="2"/>
      </rPr>
      <t>P</t>
    </r>
  </si>
  <si>
    <r>
      <t xml:space="preserve">6.3 </t>
    </r>
    <r>
      <rPr>
        <vertAlign val="superscript"/>
        <sz val="11"/>
        <rFont val="Times New Roman"/>
        <family val="2"/>
      </rPr>
      <t>e</t>
    </r>
    <r>
      <rPr>
        <sz val="11"/>
        <rFont val="Times New Roman"/>
        <family val="2"/>
      </rPr>
      <t xml:space="preserve"> </t>
    </r>
    <r>
      <rPr>
        <vertAlign val="superscript"/>
        <sz val="11"/>
        <rFont val="Times New Roman"/>
        <family val="2"/>
      </rPr>
      <t>A</t>
    </r>
  </si>
  <si>
    <r>
      <t xml:space="preserve">186 </t>
    </r>
    <r>
      <rPr>
        <vertAlign val="superscript"/>
        <sz val="11"/>
        <rFont val="Times New Roman"/>
        <family val="2"/>
      </rPr>
      <t>P</t>
    </r>
  </si>
  <si>
    <r>
      <t xml:space="preserve">50 </t>
    </r>
    <r>
      <rPr>
        <vertAlign val="superscript"/>
        <sz val="11"/>
        <rFont val="Times New Roman"/>
        <family val="2"/>
      </rPr>
      <t>P</t>
    </r>
  </si>
  <si>
    <r>
      <t xml:space="preserve">169 </t>
    </r>
    <r>
      <rPr>
        <vertAlign val="superscript"/>
        <sz val="11"/>
        <rFont val="Times New Roman"/>
        <family val="2"/>
      </rPr>
      <t>P</t>
    </r>
  </si>
  <si>
    <r>
      <t xml:space="preserve">47 </t>
    </r>
    <r>
      <rPr>
        <vertAlign val="superscript"/>
        <sz val="11"/>
        <rFont val="Times New Roman"/>
        <family val="2"/>
      </rPr>
      <t>P</t>
    </r>
  </si>
  <si>
    <t>5a Little Bear</t>
  </si>
  <si>
    <t>12 Lair</t>
  </si>
  <si>
    <t>26 Cub mouth</t>
  </si>
  <si>
    <t>Nutrients</t>
  </si>
  <si>
    <t>Lower Cub Creek, Cub Creek Park</t>
  </si>
  <si>
    <t>Upper Cub Creek,  @ Brookforest Inn</t>
  </si>
  <si>
    <t>Upper Cub Creek, @ Brookforest Inn</t>
  </si>
  <si>
    <t>Seg 7</t>
  </si>
  <si>
    <t>Bear Creek Below Summit Lake</t>
  </si>
  <si>
    <t>Seg 1d</t>
  </si>
  <si>
    <t>Evergreen Lake</t>
  </si>
  <si>
    <t>Site 4a</t>
  </si>
  <si>
    <t>Site 40a</t>
  </si>
  <si>
    <t>Bear Creek Reservoir</t>
  </si>
  <si>
    <t>Bear Creek Park</t>
  </si>
  <si>
    <t>Bear Creek Wadsworth</t>
  </si>
  <si>
    <t>Bear Creek below BCR</t>
  </si>
  <si>
    <t>Evans</t>
  </si>
  <si>
    <t>Upper Bear</t>
  </si>
  <si>
    <t>Tribs</t>
  </si>
  <si>
    <t>Seg 1b</t>
  </si>
  <si>
    <t>Seg 1c</t>
  </si>
  <si>
    <t>Lower Bear</t>
  </si>
  <si>
    <t>Seg 2</t>
  </si>
  <si>
    <t xml:space="preserve">Middle Bear Creek </t>
  </si>
  <si>
    <t>BCP</t>
  </si>
  <si>
    <t>South Turkey Creek, Park</t>
  </si>
  <si>
    <t>Site 40</t>
  </si>
  <si>
    <t>Volume</t>
  </si>
  <si>
    <t>T Depth</t>
  </si>
  <si>
    <t>t depth</t>
  </si>
  <si>
    <t>P (mg/kg)</t>
  </si>
  <si>
    <t>34b</t>
  </si>
  <si>
    <t>Total Depth 40</t>
  </si>
  <si>
    <t>Secchi Target</t>
  </si>
  <si>
    <t>Water Column TP</t>
  </si>
  <si>
    <t>Annual ac-ft</t>
  </si>
  <si>
    <t>Site 36 Bear Creek</t>
  </si>
  <si>
    <t>Site 63 Bottom Fen</t>
  </si>
  <si>
    <t>tn</t>
  </si>
  <si>
    <t>tp</t>
  </si>
  <si>
    <t>Site 87/34b</t>
  </si>
  <si>
    <t>Annual</t>
  </si>
  <si>
    <t>91-2017 Mean</t>
  </si>
  <si>
    <t>91-2017 Median</t>
  </si>
  <si>
    <t>Date/Time</t>
  </si>
  <si>
    <t>jan</t>
  </si>
  <si>
    <t>feb</t>
  </si>
  <si>
    <t>mar</t>
  </si>
  <si>
    <t>apr</t>
  </si>
  <si>
    <t>may</t>
  </si>
  <si>
    <t>sep</t>
  </si>
  <si>
    <t>oct</t>
  </si>
  <si>
    <t>nov</t>
  </si>
  <si>
    <t>dec</t>
  </si>
  <si>
    <t>STORAGE (AF)</t>
  </si>
  <si>
    <t>40 - Reservoir (Average 1/2-2m)</t>
  </si>
  <si>
    <t>40 - Reservoir surface</t>
  </si>
  <si>
    <r>
      <t xml:space="preserve">Air Temperature, </t>
    </r>
    <r>
      <rPr>
        <vertAlign val="superscript"/>
        <sz val="11"/>
        <rFont val="Times New Roman"/>
        <family val="1"/>
      </rPr>
      <t>o</t>
    </r>
    <r>
      <rPr>
        <sz val="11"/>
        <rFont val="Times New Roman"/>
        <family val="1"/>
      </rPr>
      <t>C</t>
    </r>
  </si>
  <si>
    <r>
      <t>Water Temperature,</t>
    </r>
    <r>
      <rPr>
        <vertAlign val="superscript"/>
        <sz val="11"/>
        <rFont val="Times New Roman"/>
        <family val="1"/>
      </rPr>
      <t xml:space="preserve"> o</t>
    </r>
    <r>
      <rPr>
        <sz val="11"/>
        <rFont val="Times New Roman"/>
        <family val="1"/>
      </rPr>
      <t>C</t>
    </r>
  </si>
  <si>
    <t>40- Reservoir 1/2 m</t>
  </si>
  <si>
    <t>Copper- Dissolved, Pounds/Month</t>
  </si>
  <si>
    <t>2a</t>
  </si>
  <si>
    <t>3a</t>
  </si>
  <si>
    <t>8a</t>
  </si>
  <si>
    <t>32a</t>
  </si>
  <si>
    <t>13a</t>
  </si>
  <si>
    <t>Site 26</t>
  </si>
  <si>
    <t>Cub Creek mouth at Bear Creek</t>
  </si>
  <si>
    <t>Cub Creek, Mouth</t>
  </si>
  <si>
    <t>Bear Creek below Wilderness</t>
  </si>
  <si>
    <t>Upper Tribs</t>
  </si>
  <si>
    <t>Mt. V</t>
  </si>
  <si>
    <t>DO (mg/l)</t>
  </si>
  <si>
    <t>Keys</t>
  </si>
  <si>
    <t>Bergan</t>
  </si>
  <si>
    <t>Mt Vernon</t>
  </si>
  <si>
    <t>Anabaena flos-aquae</t>
  </si>
  <si>
    <t>Total Phosphorus lbs/yr</t>
  </si>
  <si>
    <t>Reservoir NPS</t>
  </si>
  <si>
    <t>%NPS</t>
  </si>
  <si>
    <t>Total TP Load</t>
  </si>
  <si>
    <t>PS</t>
  </si>
  <si>
    <t>%PS</t>
  </si>
  <si>
    <t>NPS</t>
  </si>
  <si>
    <t>Turkey Creek Drainage</t>
  </si>
  <si>
    <t>Bear Creek Drainage</t>
  </si>
  <si>
    <t>Discharged into Reservoir</t>
  </si>
  <si>
    <t>NPS load increase between 45 and 90</t>
  </si>
  <si>
    <t>% Nonpoint Source Load</t>
  </si>
  <si>
    <t>Total Discharge WWTFs</t>
  </si>
  <si>
    <t>Assume 25% PS Reaches BCR</t>
  </si>
  <si>
    <t>Estimated Reservoir Total</t>
  </si>
  <si>
    <t>32 Troublesome</t>
  </si>
  <si>
    <t>Reservoir</t>
  </si>
  <si>
    <t>Lowell</t>
  </si>
  <si>
    <t>Bear Creek Watershed Association Macroinvertebrate Sample Program</t>
  </si>
  <si>
    <t>BCWA Site</t>
  </si>
  <si>
    <t>Description</t>
  </si>
  <si>
    <t>Bear Creek Stream Segment</t>
  </si>
  <si>
    <t>WQCD Timed Kicknet</t>
  </si>
  <si>
    <t>Habitat</t>
  </si>
  <si>
    <t>Collected by</t>
  </si>
  <si>
    <t>Date Collected</t>
  </si>
  <si>
    <t>Channel width (ft)</t>
  </si>
  <si>
    <t>embeddedness (%)</t>
  </si>
  <si>
    <t>water clarity</t>
  </si>
  <si>
    <t>BCP @ bridge</t>
  </si>
  <si>
    <t>1b</t>
  </si>
  <si>
    <t>Fast Riffle</t>
  </si>
  <si>
    <t>Morrison @ gage</t>
  </si>
  <si>
    <t>Idledale</t>
  </si>
  <si>
    <t>Lair O’ Bear</t>
  </si>
  <si>
    <t>O’ Fallon</t>
  </si>
  <si>
    <t>8b</t>
  </si>
  <si>
    <t>BCC at Bridge</t>
  </si>
  <si>
    <t>Little Bear</t>
  </si>
  <si>
    <t>Keys @ bridge</t>
  </si>
  <si>
    <t>1a</t>
  </si>
  <si>
    <t>Golden Willow</t>
  </si>
  <si>
    <t>Above SRR</t>
  </si>
  <si>
    <t>Wadsworth</t>
  </si>
  <si>
    <t>1c</t>
  </si>
  <si>
    <t>Sunny 80's</t>
  </si>
  <si>
    <t>B pressure</t>
  </si>
  <si>
    <t>Site 15a-BCP @ Bridge</t>
  </si>
  <si>
    <t>Site 14a-Morrison Park West</t>
  </si>
  <si>
    <t>Site 13a-Idledale</t>
  </si>
  <si>
    <t>Site 12-Lair O' Bear</t>
  </si>
  <si>
    <t>Site 9-O'Fallon</t>
  </si>
  <si>
    <t>Site 8b BCC @ Bridge</t>
  </si>
  <si>
    <t>Site 5 Little Bear</t>
  </si>
  <si>
    <t>Site 3a Keys</t>
  </si>
  <si>
    <t>Site (90 ) Wadsworth</t>
  </si>
  <si>
    <t>Bergen</t>
  </si>
  <si>
    <t>Flows, cfs</t>
  </si>
  <si>
    <t>Periphyton%</t>
  </si>
  <si>
    <t>Thickness</t>
  </si>
  <si>
    <t>Rock Dams</t>
  </si>
  <si>
    <t>Kerr</t>
  </si>
  <si>
    <t>cub</t>
  </si>
  <si>
    <t xml:space="preserve">Partly Cloudy, 30s, </t>
  </si>
  <si>
    <t xml:space="preserve"> RNC/ TL</t>
  </si>
  <si>
    <t>Sediment Sample</t>
  </si>
  <si>
    <t>Vol</t>
  </si>
  <si>
    <t>EGL1</t>
  </si>
  <si>
    <t>EGL4a</t>
  </si>
  <si>
    <t>volume = 25ml</t>
  </si>
  <si>
    <t>Evergreen Lake @Dam</t>
  </si>
  <si>
    <t>BC118B-7</t>
  </si>
  <si>
    <t>BC118B-8</t>
  </si>
  <si>
    <t>BC118B-9</t>
  </si>
  <si>
    <t>BC218-9</t>
  </si>
  <si>
    <t>BC218-10</t>
  </si>
  <si>
    <t>BC218-11</t>
  </si>
  <si>
    <t>BC318B-7</t>
  </si>
  <si>
    <t>BC318B-8</t>
  </si>
  <si>
    <t>BC318B-9</t>
  </si>
  <si>
    <t>BC418-9</t>
  </si>
  <si>
    <t>BC418-10</t>
  </si>
  <si>
    <t>BC418-11</t>
  </si>
  <si>
    <t>E. coli</t>
  </si>
  <si>
    <t>SM 9223B</t>
  </si>
  <si>
    <t>MPN/100 mL</t>
  </si>
  <si>
    <t>BC518C-7</t>
  </si>
  <si>
    <t>BC518C-8</t>
  </si>
  <si>
    <t>BC518C-9</t>
  </si>
  <si>
    <t>BC618B-9</t>
  </si>
  <si>
    <t>BC618B-10</t>
  </si>
  <si>
    <t>BC618B-11</t>
  </si>
  <si>
    <t>BC818-7</t>
  </si>
  <si>
    <t>BC818-8</t>
  </si>
  <si>
    <t>BC818-11</t>
  </si>
  <si>
    <t>BC918B-7</t>
  </si>
  <si>
    <t>BC918B-8</t>
  </si>
  <si>
    <t>BC918B-9</t>
  </si>
  <si>
    <t>BC1018-7</t>
  </si>
  <si>
    <t>BC1018-8</t>
  </si>
  <si>
    <t>BC1018-11</t>
  </si>
  <si>
    <t>BC1118-7</t>
  </si>
  <si>
    <t>BC1118-8</t>
  </si>
  <si>
    <t>BC1118-11</t>
  </si>
  <si>
    <t>BC1218-7</t>
  </si>
  <si>
    <t>BC1218-8</t>
  </si>
  <si>
    <t>BC1218-11</t>
  </si>
  <si>
    <t>4e</t>
  </si>
  <si>
    <t>E. coli MPN/100ml</t>
  </si>
  <si>
    <t>ac</t>
  </si>
  <si>
    <t>Bear Creek Reservoir Mean Annual Concentrations 1991-2018</t>
  </si>
  <si>
    <t>Periphyton Coverage %</t>
  </si>
  <si>
    <t>Periphyton Thickness</t>
  </si>
  <si>
    <t>Site 76 North Fen</t>
  </si>
  <si>
    <t>Site 95 South Control Fen</t>
  </si>
  <si>
    <t>76 - North Fen</t>
  </si>
  <si>
    <t>95 South Control Fen</t>
  </si>
  <si>
    <t>Site 34b</t>
  </si>
  <si>
    <t>Copper</t>
  </si>
  <si>
    <t>2018 Total Phosphorus Loading (Pounds)</t>
  </si>
  <si>
    <t>Runoff</t>
  </si>
  <si>
    <t>2018 DO Compliance Bear Creek Reservoir</t>
  </si>
  <si>
    <t>site 34b</t>
  </si>
  <si>
    <t>Site 32a</t>
  </si>
  <si>
    <t>Periphyton %</t>
  </si>
  <si>
    <t>Embedness</t>
  </si>
  <si>
    <t>Site 47A</t>
  </si>
  <si>
    <t>Site 47B</t>
  </si>
  <si>
    <t>D/Vel</t>
  </si>
  <si>
    <t>W Temp</t>
  </si>
  <si>
    <t>Temp Water</t>
  </si>
  <si>
    <t>Temp Air</t>
  </si>
  <si>
    <t>Total Nirogen, ug/l</t>
  </si>
  <si>
    <t>Turkey:16c</t>
  </si>
  <si>
    <t>Turkey Creek 16a</t>
  </si>
  <si>
    <t>Turkey Creek 16c</t>
  </si>
  <si>
    <t>Ecoli</t>
  </si>
  <si>
    <t xml:space="preserve">Sample Depth: </t>
  </si>
  <si>
    <t xml:space="preserve">Sample Date: </t>
  </si>
  <si>
    <t xml:space="preserve">Total Density (#/mL): </t>
  </si>
  <si>
    <r>
      <t>Total Biovolume (um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 xml:space="preserve">/mL):              </t>
    </r>
  </si>
  <si>
    <t xml:space="preserve">Trophic State Index: </t>
  </si>
  <si>
    <t>Density</t>
  </si>
  <si>
    <t>Biovolume</t>
  </si>
  <si>
    <t>Species</t>
  </si>
  <si>
    <t>#/mL</t>
  </si>
  <si>
    <t>Percent</t>
  </si>
  <si>
    <r>
      <t>um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/mL</t>
    </r>
  </si>
  <si>
    <t>Group</t>
  </si>
  <si>
    <t>cryptophyte</t>
  </si>
  <si>
    <t>Asterionella formosa</t>
  </si>
  <si>
    <t>diatom</t>
  </si>
  <si>
    <t>Achnanthes minutissima</t>
  </si>
  <si>
    <t>Melosira ambigua</t>
  </si>
  <si>
    <t>chrysophyte</t>
  </si>
  <si>
    <t>Cymbella minuta</t>
  </si>
  <si>
    <t>Rhodomonas minuta</t>
  </si>
  <si>
    <t>green</t>
  </si>
  <si>
    <t xml:space="preserve">Sample: </t>
  </si>
  <si>
    <t xml:space="preserve">Sample Site: </t>
  </si>
  <si>
    <t>Hannaea arcus</t>
  </si>
  <si>
    <t>Gomphonema angustatum</t>
  </si>
  <si>
    <t>Synedra rumpens</t>
  </si>
  <si>
    <t>Nitzschia palea</t>
  </si>
  <si>
    <t>Aphanizomenon flos-aquae</t>
  </si>
  <si>
    <t>ac-ft</t>
  </si>
  <si>
    <t>ac-ft Flow</t>
  </si>
  <si>
    <t>phyto July-Sept</t>
  </si>
  <si>
    <t>Total (Acre-Feet)</t>
  </si>
  <si>
    <t>  October 2017</t>
  </si>
  <si>
    <t>  2420</t>
  </si>
  <si>
    <t>  November 2017</t>
  </si>
  <si>
    <t>  1480</t>
  </si>
  <si>
    <t>  December 2017</t>
  </si>
  <si>
    <t>  1050</t>
  </si>
  <si>
    <t>  January 2018</t>
  </si>
  <si>
    <t>  730</t>
  </si>
  <si>
    <t>  February 2018</t>
  </si>
  <si>
    <t>  724</t>
  </si>
  <si>
    <t>  March 2018</t>
  </si>
  <si>
    <t>  891</t>
  </si>
  <si>
    <t>  April 2018</t>
  </si>
  <si>
    <t>  1080</t>
  </si>
  <si>
    <t>  May 2018</t>
  </si>
  <si>
    <t>  2230</t>
  </si>
  <si>
    <t>  June 2018</t>
  </si>
  <si>
    <t>  1060</t>
  </si>
  <si>
    <t>  July 2018</t>
  </si>
  <si>
    <t>  706</t>
  </si>
  <si>
    <t>  August 2018</t>
  </si>
  <si>
    <t>  477</t>
  </si>
  <si>
    <t>  September 2018</t>
  </si>
  <si>
    <t>  642</t>
  </si>
  <si>
    <t>Turkey GH</t>
  </si>
  <si>
    <t>Tony Langoski/ RNC</t>
  </si>
  <si>
    <t>Dates</t>
  </si>
  <si>
    <t>Ave Temp C</t>
  </si>
  <si>
    <t>DM C</t>
  </si>
  <si>
    <t>MWAT C</t>
  </si>
  <si>
    <t>MWMT C</t>
  </si>
  <si>
    <t>Bear Creek below Vance Creek</t>
  </si>
  <si>
    <t>Station</t>
  </si>
  <si>
    <t>Degree Days</t>
  </si>
  <si>
    <t>Bear Creek below Indian Creek</t>
  </si>
  <si>
    <t>Bear Creek Headwaters (Lincoln and Summit Lakes Tribs)</t>
  </si>
  <si>
    <t>Cold Standard</t>
  </si>
  <si>
    <t>Warm Standard</t>
  </si>
  <si>
    <t>WAT C</t>
  </si>
  <si>
    <t>Bear Track Creek above headwaters of Bear Creek</t>
  </si>
  <si>
    <t>Grass Creek</t>
  </si>
  <si>
    <t>Indian Creek</t>
  </si>
  <si>
    <t>Lost Creek</t>
  </si>
  <si>
    <t>Truesdell Creek</t>
  </si>
  <si>
    <t>Yankee Creek</t>
  </si>
  <si>
    <t>M30AT C</t>
  </si>
  <si>
    <t xml:space="preserve">Growing season = first day of first week when avg. temps above 5°C  to last day of first week when avg. temps drop below 4°C </t>
  </si>
  <si>
    <t>900-1200 °C degree days afford best opportunity for recruitment and translocation success</t>
  </si>
  <si>
    <t>800-900 °C degree days sustain recruitment in some years</t>
  </si>
  <si>
    <t>&lt;800 °C degree days may be unsustainable</t>
  </si>
  <si>
    <t>DM Exceeded</t>
  </si>
  <si>
    <t>2017 DO Compliance Bear Creek Reservoir</t>
  </si>
  <si>
    <t>2016 DO Compliance Bear Creek Reservoir</t>
  </si>
  <si>
    <t>2015 DO Compliance Bear Creek Reservoir</t>
  </si>
  <si>
    <t>2014 DO Compliance Bear Creek Reservoir</t>
  </si>
  <si>
    <t>aerator operation</t>
  </si>
  <si>
    <t>Line</t>
  </si>
  <si>
    <t>Depth (ft)</t>
  </si>
  <si>
    <t>Line 1</t>
  </si>
  <si>
    <t>Line 2</t>
  </si>
  <si>
    <t>Line 3</t>
  </si>
  <si>
    <t>Line 4</t>
  </si>
  <si>
    <t>Line 5</t>
  </si>
  <si>
    <t>Line 6</t>
  </si>
  <si>
    <t>Line 8</t>
  </si>
  <si>
    <t>Line 9</t>
  </si>
  <si>
    <t>Air Line (ft)</t>
  </si>
  <si>
    <t>Line 7</t>
  </si>
  <si>
    <t>HP Compressor</t>
  </si>
  <si>
    <t>start</t>
  </si>
  <si>
    <t>end</t>
  </si>
  <si>
    <t>6 new Keenon aerators with 4 Dura Venturies</t>
  </si>
  <si>
    <t>6 new Keenon aerators</t>
  </si>
  <si>
    <t>Aeration System</t>
  </si>
  <si>
    <t>Spring floods</t>
  </si>
  <si>
    <t>install Compressor Feb</t>
  </si>
  <si>
    <t>DO Increase Lag Days</t>
  </si>
  <si>
    <t>Average Depth</t>
  </si>
  <si>
    <t>Aerator</t>
  </si>
  <si>
    <t>res</t>
  </si>
  <si>
    <t>Aerator Study</t>
  </si>
  <si>
    <t xml:space="preserve">Aerator </t>
  </si>
  <si>
    <t>Depth m</t>
  </si>
  <si>
    <t>50ft</t>
  </si>
  <si>
    <t>100ft</t>
  </si>
  <si>
    <t>250ft</t>
  </si>
  <si>
    <t>500ft</t>
  </si>
  <si>
    <t>TC</t>
  </si>
  <si>
    <t>Water Temp</t>
  </si>
  <si>
    <t>RNC/TL</t>
  </si>
  <si>
    <t>Site 49a Big Soda</t>
  </si>
  <si>
    <t>Site 49b Little Soda</t>
  </si>
  <si>
    <t>RC/TL</t>
  </si>
  <si>
    <t xml:space="preserve">Copper </t>
  </si>
  <si>
    <t>0..57</t>
  </si>
  <si>
    <t>EGL2</t>
  </si>
  <si>
    <t>EGL3</t>
  </si>
  <si>
    <t>BCWA Dredge Sample Program 10/14/2019 and EGL 10/9/2019</t>
  </si>
  <si>
    <t>Sunny 40-50s</t>
  </si>
  <si>
    <t>x5</t>
  </si>
  <si>
    <t>Reservoir Profile</t>
  </si>
  <si>
    <t>91-2019 Mean</t>
  </si>
  <si>
    <t>91-2019 Median</t>
  </si>
  <si>
    <t>Morrison Park</t>
  </si>
  <si>
    <t>tc</t>
  </si>
  <si>
    <t>BC119-1</t>
  </si>
  <si>
    <t>BC119-2</t>
  </si>
  <si>
    <t>BC119-3</t>
  </si>
  <si>
    <t>BC119-4</t>
  </si>
  <si>
    <t>BC119-5</t>
  </si>
  <si>
    <t>BC119-6</t>
  </si>
  <si>
    <t>BC119-7</t>
  </si>
  <si>
    <t>BC119-8</t>
  </si>
  <si>
    <t>BC119-9</t>
  </si>
  <si>
    <t>BC219-1</t>
  </si>
  <si>
    <t>BC219-2</t>
  </si>
  <si>
    <t>BC219-3</t>
  </si>
  <si>
    <t>BC219-4</t>
  </si>
  <si>
    <t>BC219-5</t>
  </si>
  <si>
    <t>BC219-6</t>
  </si>
  <si>
    <t>BC219-7</t>
  </si>
  <si>
    <t>47A</t>
  </si>
  <si>
    <t>BC219-8</t>
  </si>
  <si>
    <t>47B</t>
  </si>
  <si>
    <t>BC219-9</t>
  </si>
  <si>
    <t>BC219-10</t>
  </si>
  <si>
    <t>BC219-11</t>
  </si>
  <si>
    <t>BC219-12</t>
  </si>
  <si>
    <t>16c</t>
  </si>
  <si>
    <t>BC319B-1</t>
  </si>
  <si>
    <t>BC319B-2</t>
  </si>
  <si>
    <t>BC319B-3</t>
  </si>
  <si>
    <t>BC319B-4</t>
  </si>
  <si>
    <t>BC319B-5</t>
  </si>
  <si>
    <t>BC319B-6</t>
  </si>
  <si>
    <t>BC319B-7</t>
  </si>
  <si>
    <t>BC319B-8</t>
  </si>
  <si>
    <t>BC319B-9</t>
  </si>
  <si>
    <t>BC319B-10</t>
  </si>
  <si>
    <t>BC419-1</t>
  </si>
  <si>
    <t>BC419-2</t>
  </si>
  <si>
    <t>BC419-3</t>
  </si>
  <si>
    <t>BC419-4</t>
  </si>
  <si>
    <t>BC419-5</t>
  </si>
  <si>
    <t>BC419-6</t>
  </si>
  <si>
    <t>BC419-7</t>
  </si>
  <si>
    <t>BC419-8</t>
  </si>
  <si>
    <t>BC419-9</t>
  </si>
  <si>
    <t>BC419-10</t>
  </si>
  <si>
    <t>BC419-11</t>
  </si>
  <si>
    <t>BC419-12</t>
  </si>
  <si>
    <t>BC519-1</t>
  </si>
  <si>
    <t>BC519-2</t>
  </si>
  <si>
    <t>BC519-3</t>
  </si>
  <si>
    <t>BC519-4</t>
  </si>
  <si>
    <t>BC519-5</t>
  </si>
  <si>
    <t>BC519-6</t>
  </si>
  <si>
    <t>BC519-7</t>
  </si>
  <si>
    <t>BC519-8</t>
  </si>
  <si>
    <t>BC519-9</t>
  </si>
  <si>
    <t>BC519-10</t>
  </si>
  <si>
    <t>BC619-1</t>
  </si>
  <si>
    <t>BC619-2</t>
  </si>
  <si>
    <t>BC619-3</t>
  </si>
  <si>
    <t>BC619-4</t>
  </si>
  <si>
    <t>BC619-5</t>
  </si>
  <si>
    <t>BC619-6</t>
  </si>
  <si>
    <t>BC619-7</t>
  </si>
  <si>
    <t>BC619-8</t>
  </si>
  <si>
    <t>BC619-9</t>
  </si>
  <si>
    <t>BC619-10</t>
  </si>
  <si>
    <t>BC619-11</t>
  </si>
  <si>
    <t>BC619-12</t>
  </si>
  <si>
    <t>BC719D-1</t>
  </si>
  <si>
    <t>BC719D-2</t>
  </si>
  <si>
    <t>BC719D-3</t>
  </si>
  <si>
    <t>BC719D-4</t>
  </si>
  <si>
    <t>BC719D-5</t>
  </si>
  <si>
    <t>BC719D-6</t>
  </si>
  <si>
    <t>BC719-1</t>
  </si>
  <si>
    <t>BC719-2</t>
  </si>
  <si>
    <t>BC719-3</t>
  </si>
  <si>
    <t>BC719-4</t>
  </si>
  <si>
    <t>BC719-5</t>
  </si>
  <si>
    <t>BC719-6</t>
  </si>
  <si>
    <t>BC719-7</t>
  </si>
  <si>
    <t>BC819-1</t>
  </si>
  <si>
    <t>BC819-2</t>
  </si>
  <si>
    <t>BC819-3</t>
  </si>
  <si>
    <t>BC819-4</t>
  </si>
  <si>
    <t>BC819-5</t>
  </si>
  <si>
    <t>BC819-6</t>
  </si>
  <si>
    <t>BC819-7</t>
  </si>
  <si>
    <t>BC819-8</t>
  </si>
  <si>
    <t>BC819-9</t>
  </si>
  <si>
    <t>BC919B-1</t>
  </si>
  <si>
    <t>BC919B-2</t>
  </si>
  <si>
    <t>BC919B-3</t>
  </si>
  <si>
    <t>BC919B-4</t>
  </si>
  <si>
    <t>BC919B-5</t>
  </si>
  <si>
    <t>BC919B-6</t>
  </si>
  <si>
    <t>BC919B-7</t>
  </si>
  <si>
    <t>BC919E-1</t>
  </si>
  <si>
    <t>BC919E-2</t>
  </si>
  <si>
    <t>BC919E-3</t>
  </si>
  <si>
    <t>BC919E-4</t>
  </si>
  <si>
    <t>BC919E-5</t>
  </si>
  <si>
    <t>BC919E-6</t>
  </si>
  <si>
    <t>BC919E-7</t>
  </si>
  <si>
    <t>BC919E-8</t>
  </si>
  <si>
    <t>BC1019C-1</t>
  </si>
  <si>
    <t>BC1019C-2</t>
  </si>
  <si>
    <t>BC1019C-3</t>
  </si>
  <si>
    <t>BC1019C-4</t>
  </si>
  <si>
    <t>BC1019C-5</t>
  </si>
  <si>
    <t>BC1019C-6</t>
  </si>
  <si>
    <t>BC1019C-7</t>
  </si>
  <si>
    <t>BC1019C-8</t>
  </si>
  <si>
    <t>BC1019C-9</t>
  </si>
  <si>
    <t>BC1119B-1</t>
  </si>
  <si>
    <t>BC1119B-2</t>
  </si>
  <si>
    <t>BC1119B-3</t>
  </si>
  <si>
    <t>BC1119B-4</t>
  </si>
  <si>
    <t>BC1119B-5</t>
  </si>
  <si>
    <t>BC1119B-6</t>
  </si>
  <si>
    <t>BC1119B-7</t>
  </si>
  <si>
    <t>BC1219-1</t>
  </si>
  <si>
    <t>BC1219-2</t>
  </si>
  <si>
    <t>BC1219-3</t>
  </si>
  <si>
    <t>BC1219-4</t>
  </si>
  <si>
    <t>BC1219-5</t>
  </si>
  <si>
    <t>BC1219-6</t>
  </si>
  <si>
    <t>BC1219-7</t>
  </si>
  <si>
    <t>3.5</t>
  </si>
  <si>
    <t>BC819B-1</t>
  </si>
  <si>
    <t>BC819B-2</t>
  </si>
  <si>
    <t>BC819B-3</t>
  </si>
  <si>
    <t>BC819B-4</t>
  </si>
  <si>
    <t>BC819B-5</t>
  </si>
  <si>
    <t>BC819B-6</t>
  </si>
  <si>
    <t>BC819B-7</t>
  </si>
  <si>
    <t>49a</t>
  </si>
  <si>
    <t>BC819B-8</t>
  </si>
  <si>
    <t>49b</t>
  </si>
  <si>
    <t>BC819B-9</t>
  </si>
  <si>
    <t>BC819B-10</t>
  </si>
  <si>
    <t xml:space="preserve">16c - Upper Turkey Creek </t>
  </si>
  <si>
    <t>16c- Upper turkey Creek</t>
  </si>
  <si>
    <t>Reservoir Surface</t>
  </si>
  <si>
    <t>Bear Creek Watershed Association</t>
  </si>
  <si>
    <t>Site 16c</t>
  </si>
  <si>
    <t>geometric mean</t>
  </si>
  <si>
    <t>inflow avg</t>
  </si>
  <si>
    <t>2019 Total Phosphorus Loading (Pounds)</t>
  </si>
  <si>
    <t>91-2018 Mean</t>
  </si>
  <si>
    <t>91-2018 Median</t>
  </si>
  <si>
    <t>BC619D-1</t>
  </si>
  <si>
    <t>BC619D-2</t>
  </si>
  <si>
    <t>BC619D-3</t>
  </si>
  <si>
    <t>BC619D-4</t>
  </si>
  <si>
    <t>BC619D-5</t>
  </si>
  <si>
    <t>BC819D-1</t>
  </si>
  <si>
    <t>H</t>
  </si>
  <si>
    <t>J, H</t>
  </si>
  <si>
    <t>BC819D-2</t>
  </si>
  <si>
    <t>U, H</t>
  </si>
  <si>
    <t>BC819D-3</t>
  </si>
  <si>
    <t>BC819D-4</t>
  </si>
  <si>
    <t>BC819D-5</t>
  </si>
  <si>
    <t>BC719E-1</t>
  </si>
  <si>
    <t>BC719E-2</t>
  </si>
  <si>
    <t>BC719E-3</t>
  </si>
  <si>
    <t>BC719E-4</t>
  </si>
  <si>
    <t>BC719E-5</t>
  </si>
  <si>
    <t>BC919D-1</t>
  </si>
  <si>
    <t>BC919D-2</t>
  </si>
  <si>
    <t>BC919D-3</t>
  </si>
  <si>
    <t>BC919D-4</t>
  </si>
  <si>
    <t>BC1019-1</t>
  </si>
  <si>
    <t>BC1019-2</t>
  </si>
  <si>
    <t>BC1019-3</t>
  </si>
  <si>
    <t>BC519C-1</t>
  </si>
  <si>
    <t>BC519C-2</t>
  </si>
  <si>
    <t>BC519C-3</t>
  </si>
  <si>
    <t>BC519C-4</t>
  </si>
  <si>
    <t>BC519C-5</t>
  </si>
  <si>
    <t>BC519C-6</t>
  </si>
  <si>
    <t>BC519C-7</t>
  </si>
  <si>
    <t>BC519C-8</t>
  </si>
  <si>
    <t>BC519C-9</t>
  </si>
  <si>
    <t>BC519C-10</t>
  </si>
  <si>
    <t>BC519C-11</t>
  </si>
  <si>
    <t>BC519C-12</t>
  </si>
  <si>
    <t>BC519C-13</t>
  </si>
  <si>
    <t>BC519C-14</t>
  </si>
  <si>
    <t>BC519C-15</t>
  </si>
  <si>
    <t>BC519C-16</t>
  </si>
  <si>
    <t>BC619C-1</t>
  </si>
  <si>
    <t>BC619C-2</t>
  </si>
  <si>
    <t>BC619C-3</t>
  </si>
  <si>
    <t>BC619C-4</t>
  </si>
  <si>
    <t>BC619C-5</t>
  </si>
  <si>
    <t>BC619C-6</t>
  </si>
  <si>
    <t>BC619C-7</t>
  </si>
  <si>
    <t>BC619C-8</t>
  </si>
  <si>
    <t>BC619C-9</t>
  </si>
  <si>
    <t>BC619C-10</t>
  </si>
  <si>
    <t>BC619C-11</t>
  </si>
  <si>
    <t>BC619C-12</t>
  </si>
  <si>
    <t>BC619C-13</t>
  </si>
  <si>
    <t>BC619C-14</t>
  </si>
  <si>
    <t>BC719B-1</t>
  </si>
  <si>
    <t>BC719B-2</t>
  </si>
  <si>
    <t>BC719B-3</t>
  </si>
  <si>
    <t>BC719B-4</t>
  </si>
  <si>
    <t>BC719B-5</t>
  </si>
  <si>
    <t>BC719B-6</t>
  </si>
  <si>
    <t>BC719B-7</t>
  </si>
  <si>
    <t>BC719B-8</t>
  </si>
  <si>
    <t>BC719B-9</t>
  </si>
  <si>
    <t>BC719B-10</t>
  </si>
  <si>
    <t>BC719B-11</t>
  </si>
  <si>
    <t>BC719B-12</t>
  </si>
  <si>
    <t>BC719B-13</t>
  </si>
  <si>
    <t>BC719B-14</t>
  </si>
  <si>
    <t>BC719B-15</t>
  </si>
  <si>
    <t>BC719B-16</t>
  </si>
  <si>
    <t>4A</t>
  </si>
  <si>
    <t>BC719B-17</t>
  </si>
  <si>
    <t>BC819E-1</t>
  </si>
  <si>
    <t>H, J</t>
  </si>
  <si>
    <t>BC819E-2</t>
  </si>
  <si>
    <t>BC819E-3</t>
  </si>
  <si>
    <t>H, U</t>
  </si>
  <si>
    <t>BC819E-4</t>
  </si>
  <si>
    <t>BC819E-5</t>
  </si>
  <si>
    <t>BC819E-6</t>
  </si>
  <si>
    <t>BC819E-7</t>
  </si>
  <si>
    <t>BC819E-8</t>
  </si>
  <si>
    <t>BC819E-9</t>
  </si>
  <si>
    <t>BC819F-1</t>
  </si>
  <si>
    <t>BC819F-2</t>
  </si>
  <si>
    <t>BC819F-3</t>
  </si>
  <si>
    <t>BC819F-4</t>
  </si>
  <si>
    <t>BC819F-5</t>
  </si>
  <si>
    <t>BC919F-1</t>
  </si>
  <si>
    <t>BC919F-2</t>
  </si>
  <si>
    <t>BC919F-3</t>
  </si>
  <si>
    <t>BC919F-4</t>
  </si>
  <si>
    <t>BC919F-5</t>
  </si>
  <si>
    <t>BC919F-6</t>
  </si>
  <si>
    <t>BC919F-7</t>
  </si>
  <si>
    <t>BC919F-8</t>
  </si>
  <si>
    <t>BC919F-9</t>
  </si>
  <si>
    <t>BC919F-10</t>
  </si>
  <si>
    <t>BC919F-11</t>
  </si>
  <si>
    <t>BC919F-12</t>
  </si>
  <si>
    <t>BC919F-13</t>
  </si>
  <si>
    <t>BC919F-14</t>
  </si>
  <si>
    <t>BC1019D-1</t>
  </si>
  <si>
    <t>BC1019D-2</t>
  </si>
  <si>
    <t>BC1019D-3</t>
  </si>
  <si>
    <t>BC1019D-4</t>
  </si>
  <si>
    <t>BC1019D-5</t>
  </si>
  <si>
    <t>BC1019D-6</t>
  </si>
  <si>
    <t>BC1019D-7</t>
  </si>
  <si>
    <t>BC1019D-8</t>
  </si>
  <si>
    <t>BC1019D-9</t>
  </si>
  <si>
    <t>BC1019D-10</t>
  </si>
  <si>
    <t>BC1019D-11</t>
  </si>
  <si>
    <t>BC1019D-12</t>
  </si>
  <si>
    <t>BC1019D-13</t>
  </si>
  <si>
    <t>BC1019D-14</t>
  </si>
  <si>
    <t>BC1019D-15</t>
  </si>
  <si>
    <t>BC519D-1</t>
  </si>
  <si>
    <t>BC519D-2</t>
  </si>
  <si>
    <t>BC619B-1</t>
  </si>
  <si>
    <t>BC619B-2</t>
  </si>
  <si>
    <t>BC919C-1</t>
  </si>
  <si>
    <t>BC919C-2</t>
  </si>
  <si>
    <t>BC1019B-1</t>
  </si>
  <si>
    <t>BC1019B-2</t>
  </si>
  <si>
    <t>BC819C-1</t>
  </si>
  <si>
    <t>BC819C-2</t>
  </si>
  <si>
    <t>-</t>
  </si>
  <si>
    <t>Achnanthes linearis</t>
  </si>
  <si>
    <t>Achnanthes lanceolata</t>
  </si>
  <si>
    <t>Navicula tripunctata</t>
  </si>
  <si>
    <t>Rhoicosphenia curvata</t>
  </si>
  <si>
    <t>Achnanthes clevei</t>
  </si>
  <si>
    <t>Achnanthes marginulata</t>
  </si>
  <si>
    <t>Chrysococcus rufescens</t>
  </si>
  <si>
    <t>Fragilaria vaucheria</t>
  </si>
  <si>
    <t>Kephyrion sp.</t>
  </si>
  <si>
    <t>Navicula minuscula</t>
  </si>
  <si>
    <t>Caloneis ventricosa minuta</t>
  </si>
  <si>
    <t>Kephyrion spirale</t>
  </si>
  <si>
    <t>Synedra ulna</t>
  </si>
  <si>
    <t>Cyclotella stelligera</t>
  </si>
  <si>
    <t>Tetraedron minimum</t>
  </si>
  <si>
    <t>Fragilaria pinnata</t>
  </si>
  <si>
    <t>Nitzschia dissipata</t>
  </si>
  <si>
    <t>Diatoma tenue</t>
  </si>
  <si>
    <t>Navicula decussis</t>
  </si>
  <si>
    <t>Nitzschia frustulum</t>
  </si>
  <si>
    <t>Fragilaria construens venter</t>
  </si>
  <si>
    <t>Amphora perpusilla</t>
  </si>
  <si>
    <t>Dinobryon sertularia</t>
  </si>
  <si>
    <t>Scenedesmus quadricauda</t>
  </si>
  <si>
    <t>Navicula pupula</t>
  </si>
  <si>
    <t>Navicula cryptocephala</t>
  </si>
  <si>
    <t>Cocconeis placentula</t>
  </si>
  <si>
    <t>Navicula anglica</t>
  </si>
  <si>
    <t>Pinnularia sp.</t>
  </si>
  <si>
    <t>Navicula minima</t>
  </si>
  <si>
    <t>Cymbella microcephala</t>
  </si>
  <si>
    <t>Total Species</t>
  </si>
  <si>
    <r>
      <t>Total Biovolume (um</t>
    </r>
    <r>
      <rPr>
        <b/>
        <vertAlign val="superscript"/>
        <sz val="9"/>
        <rFont val="Arial"/>
        <family val="2"/>
      </rPr>
      <t>3</t>
    </r>
    <r>
      <rPr>
        <b/>
        <sz val="9"/>
        <rFont val="Arial"/>
        <family val="2"/>
      </rPr>
      <t xml:space="preserve">/mL):              </t>
    </r>
  </si>
  <si>
    <t>cu</t>
  </si>
  <si>
    <t>hard</t>
  </si>
  <si>
    <t>Bear Creek Reservoir 2019 - Summary Statisitics</t>
  </si>
  <si>
    <t>2019 Temperature C WAT (1/2-2m)</t>
  </si>
  <si>
    <t>2019 DO Compliance Bear Creek Reservoir</t>
  </si>
  <si>
    <t>May-October</t>
  </si>
  <si>
    <t>TP Pounds</t>
  </si>
  <si>
    <t>Middle Tribs</t>
  </si>
  <si>
    <t>Achnanthes deflexa</t>
  </si>
  <si>
    <t>Cymbella mexicana</t>
  </si>
  <si>
    <t>Fragilaria crotonensis</t>
  </si>
  <si>
    <t>Trachelomonas scabra</t>
  </si>
  <si>
    <t>Phytoplankton Species with &gt;100,000 Biovolume um3/mL - Site 40  (July- October 2019)</t>
  </si>
  <si>
    <t>Density cells/ml = 38,843</t>
  </si>
  <si>
    <r>
      <t>Peak Biovolume (um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/mL) = 2,280,056</t>
    </r>
  </si>
  <si>
    <t>2013-2019</t>
  </si>
  <si>
    <t>Density %</t>
  </si>
  <si>
    <t>Biovolume %</t>
  </si>
  <si>
    <t>Density #/ml</t>
  </si>
  <si>
    <t>Biovolume um3/mL</t>
  </si>
  <si>
    <t>dry</t>
  </si>
  <si>
    <t>1987-2019</t>
  </si>
  <si>
    <t>Secchi (m)</t>
  </si>
  <si>
    <t>lchl</t>
  </si>
  <si>
    <t>Meso/Eu</t>
  </si>
  <si>
    <t>XCHL</t>
  </si>
  <si>
    <t>TSI(SD)</t>
  </si>
  <si>
    <t>TSI(CHL)</t>
  </si>
  <si>
    <t>TSI(TP)</t>
  </si>
  <si>
    <t>TN/TP Ratio</t>
  </si>
  <si>
    <t>Limitation</t>
  </si>
  <si>
    <t>Bal</t>
  </si>
  <si>
    <t>EU</t>
  </si>
  <si>
    <t>ME/EU</t>
  </si>
  <si>
    <t>ME</t>
  </si>
  <si>
    <t>TSI (SD+TP+CHL)</t>
  </si>
  <si>
    <t>TSI (Balanced)</t>
  </si>
  <si>
    <t>TSI(TN)</t>
  </si>
  <si>
    <t>Eutrophic Zone</t>
  </si>
  <si>
    <t>TSI (CHL+TP+TN+SD)</t>
  </si>
  <si>
    <t>EU Zone</t>
  </si>
  <si>
    <t>TSI Scale</t>
  </si>
  <si>
    <t>AIRTEMP (°F)</t>
  </si>
  <si>
    <t>DISCHRG (cfs)</t>
  </si>
  <si>
    <t>Period-of-record for statistical calculation restricted by user</t>
  </si>
  <si>
    <t>Mean of</t>
  </si>
  <si>
    <t>monthly</t>
  </si>
  <si>
    <t>00060, Discharge, cubic feet per second,</t>
  </si>
  <si>
    <t>YEAR</t>
  </si>
  <si>
    <t>Monthly mean in ft3/s   (Calculation Period: 1984-10-01 -&gt; 2019-09-30)</t>
  </si>
  <si>
    <t>Average Ac-ft per month</t>
  </si>
  <si>
    <t>Total Ac-ft per month</t>
  </si>
  <si>
    <t>Annual Ac-ft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</si>
</sst>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dd\-mmm\-yy_)"/>
    <numFmt numFmtId="167" formatCode="0.0_)"/>
    <numFmt numFmtId="168" formatCode="_(* #,##0_);_(* \(#,##0\);_(* &quot;-&quot;??_);_(@_)"/>
    <numFmt numFmtId="169" formatCode="m/d/yy"/>
    <numFmt numFmtId="170" formatCode="#,##0.0"/>
    <numFmt numFmtId="171" formatCode="mm/dd/yy;@"/>
    <numFmt numFmtId="172" formatCode="m/dd/yy;@"/>
    <numFmt numFmtId="173" formatCode="###0;###0"/>
    <numFmt numFmtId="174" formatCode="h:mm;@"/>
    <numFmt numFmtId="175" formatCode="mm/dd/yy"/>
    <numFmt numFmtId="176" formatCode="0.000000"/>
    <numFmt numFmtId="177" formatCode="[$-409]d\-mmm;@"/>
    <numFmt numFmtId="178" formatCode="#,##0.0000"/>
    <numFmt numFmtId="179" formatCode="0.0000"/>
    <numFmt numFmtId="180" formatCode="#,##0.000"/>
    <numFmt numFmtId="181" formatCode="0.0000000"/>
    <numFmt numFmtId="182" formatCode="#,##0.000000"/>
    <numFmt numFmtId="183" formatCode="0.0%"/>
    <numFmt numFmtId="184" formatCode="[$-F400]h:mm:ss\ AM/PM"/>
    <numFmt numFmtId="185" formatCode="#,##0.0000000"/>
    <numFmt numFmtId="186" formatCode="[$-409]h:mm\ AM/PM;@"/>
    <numFmt numFmtId="187" formatCode="m/d/yy;@"/>
    <numFmt numFmtId="188" formatCode="[$-409]d\-mmm\-yy;@"/>
  </numFmts>
  <fonts count="152"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sz val="8"/>
      <name val="Arial Black"/>
      <family val="2"/>
    </font>
    <font>
      <b/>
      <sz val="9"/>
      <name val="Arial"/>
      <family val="2"/>
    </font>
    <font>
      <sz val="10"/>
      <name val="Helv"/>
    </font>
    <font>
      <b/>
      <sz val="8"/>
      <name val="Arial"/>
      <family val="2"/>
    </font>
    <font>
      <b/>
      <sz val="11"/>
      <name val="Arial"/>
      <family val="2"/>
    </font>
    <font>
      <sz val="8"/>
      <name val="Helv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0"/>
      <name val="Times New Roman"/>
      <family val="1"/>
    </font>
    <font>
      <b/>
      <vertAlign val="superscript"/>
      <sz val="12"/>
      <name val="Arial"/>
      <family val="2"/>
    </font>
    <font>
      <sz val="10"/>
      <color indexed="8"/>
      <name val="Times New Roman"/>
      <family val="1"/>
    </font>
    <font>
      <b/>
      <sz val="12"/>
      <name val="Times New Roman"/>
      <family val="1"/>
    </font>
    <font>
      <i/>
      <sz val="10"/>
      <name val="Times New Roman"/>
      <family val="1"/>
    </font>
    <font>
      <vertAlign val="superscript"/>
      <sz val="9"/>
      <name val="Arial"/>
      <family val="2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sz val="10"/>
      <color theme="1"/>
      <name val="Cambria"/>
      <family val="1"/>
      <scheme val="major"/>
    </font>
    <font>
      <sz val="10"/>
      <name val="Calibri"/>
      <family val="2"/>
      <scheme val="minor"/>
    </font>
    <font>
      <u/>
      <sz val="10"/>
      <color theme="10"/>
      <name val="Arial"/>
      <family val="2"/>
    </font>
    <font>
      <b/>
      <sz val="10"/>
      <name val="Calibri"/>
      <family val="2"/>
      <scheme val="minor"/>
    </font>
    <font>
      <b/>
      <sz val="9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b/>
      <sz val="9"/>
      <name val="Cambria"/>
      <family val="1"/>
      <scheme val="maj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i/>
      <sz val="10"/>
      <color indexed="8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Segoe U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sz val="9"/>
      <name val="Plantagenet Cherokee"/>
      <family val="1"/>
    </font>
    <font>
      <b/>
      <vertAlign val="superscript"/>
      <sz val="9"/>
      <color rgb="FF000000"/>
      <name val="Calibri"/>
      <family val="2"/>
    </font>
    <font>
      <b/>
      <sz val="9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b/>
      <sz val="10"/>
      <name val="Cambria"/>
      <family val="1"/>
    </font>
    <font>
      <sz val="10"/>
      <name val="Cambria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8"/>
      <name val="Times New Roman"/>
      <family val="1"/>
    </font>
    <font>
      <sz val="11"/>
      <color rgb="FF000000"/>
      <name val="Calibri"/>
      <family val="2"/>
      <scheme val="minor"/>
    </font>
    <font>
      <sz val="10"/>
      <color rgb="FFFF0000"/>
      <name val="Times New Roman"/>
      <family val="1"/>
    </font>
    <font>
      <sz val="9"/>
      <name val="Cambria"/>
      <family val="1"/>
      <scheme val="major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vertAlign val="superscript"/>
      <sz val="9"/>
      <color theme="1"/>
      <name val="Times New Roman"/>
      <family val="1"/>
    </font>
    <font>
      <b/>
      <sz val="10"/>
      <name val="Arial"/>
      <family val="2"/>
    </font>
    <font>
      <sz val="11"/>
      <name val="Times New Roman"/>
      <family val="1"/>
    </font>
    <font>
      <b/>
      <sz val="9"/>
      <name val="Calibri"/>
      <family val="2"/>
      <scheme val="minor"/>
    </font>
    <font>
      <b/>
      <sz val="8"/>
      <name val="Trebuchet MS"/>
      <family val="2"/>
    </font>
    <font>
      <sz val="11"/>
      <name val="Trebuchet MS"/>
      <family val="2"/>
    </font>
    <font>
      <b/>
      <sz val="9"/>
      <name val="Arial"/>
      <family val="2"/>
    </font>
    <font>
      <sz val="10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8"/>
      <name val="Arial"/>
      <family val="2"/>
    </font>
    <font>
      <b/>
      <sz val="9"/>
      <color indexed="18"/>
      <name val="Arial"/>
      <family val="2"/>
    </font>
    <font>
      <sz val="12"/>
      <name val="Times New Roman"/>
      <family val="1"/>
    </font>
    <font>
      <b/>
      <sz val="10"/>
      <name val="Verdana"/>
      <family val="2"/>
    </font>
    <font>
      <sz val="10"/>
      <name val="Verdana"/>
      <family val="2"/>
    </font>
    <font>
      <vertAlign val="superscript"/>
      <sz val="11"/>
      <name val="Times New Roman"/>
      <family val="2"/>
    </font>
    <font>
      <sz val="11"/>
      <name val="Times New Roman"/>
      <family val="2"/>
    </font>
    <font>
      <sz val="12"/>
      <name val="Arial"/>
      <family val="2"/>
    </font>
    <font>
      <sz val="10"/>
      <name val="Arial Unicode MS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Calibri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11"/>
      <name val="Times New Roman"/>
      <family val="1"/>
    </font>
    <font>
      <u/>
      <sz val="10"/>
      <name val="Arial"/>
      <family val="2"/>
    </font>
    <font>
      <u/>
      <sz val="9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Calibri"/>
      <family val="2"/>
      <scheme val="minor"/>
    </font>
    <font>
      <sz val="10"/>
      <name val="Arial"/>
      <family val="2"/>
    </font>
    <font>
      <sz val="11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sz val="11"/>
      <color rgb="FF006100"/>
      <name val="Calibri"/>
      <family val="2"/>
      <scheme val="minor"/>
    </font>
    <font>
      <sz val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sz val="9"/>
      <name val="Arial"/>
      <family val="2"/>
    </font>
    <font>
      <b/>
      <sz val="11"/>
      <name val="Times New Roman"/>
      <family val="1"/>
    </font>
    <font>
      <sz val="10"/>
      <name val="Arial"/>
      <family val="2"/>
    </font>
    <font>
      <vertAlign val="superscript"/>
      <sz val="11"/>
      <name val="Times New Roman"/>
      <family val="1"/>
    </font>
    <font>
      <sz val="11"/>
      <name val="Arial"/>
      <family val="2"/>
    </font>
    <font>
      <b/>
      <sz val="10"/>
      <color rgb="FFFF0000"/>
      <name val="Times New Roman"/>
      <family val="1"/>
    </font>
    <font>
      <i/>
      <sz val="10"/>
      <name val="Arial"/>
      <family val="2"/>
    </font>
    <font>
      <sz val="10"/>
      <color rgb="FF000000"/>
      <name val="Times New Roman"/>
      <family val="1"/>
    </font>
    <font>
      <sz val="8"/>
      <name val="Cambria"/>
      <family val="1"/>
      <scheme val="major"/>
    </font>
    <font>
      <sz val="10"/>
      <color theme="1"/>
      <name val="Times New Roman"/>
      <family val="1"/>
    </font>
    <font>
      <b/>
      <vertAlign val="superscript"/>
      <sz val="10"/>
      <name val="Arial"/>
      <family val="2"/>
    </font>
    <font>
      <sz val="6"/>
      <color rgb="FF000000"/>
      <name val="&amp;quot"/>
    </font>
    <font>
      <sz val="11"/>
      <color rgb="FF000000"/>
      <name val="Times New Roman"/>
      <family val="1"/>
    </font>
    <font>
      <b/>
      <vertAlign val="superscript"/>
      <sz val="9"/>
      <name val="Arial"/>
      <family val="2"/>
    </font>
    <font>
      <b/>
      <sz val="6"/>
      <color rgb="FF000000"/>
      <name val="Trebuchet MS"/>
      <family val="2"/>
    </font>
    <font>
      <sz val="6"/>
      <color rgb="FF000000"/>
      <name val="Trebuchet MS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</fonts>
  <fills count="5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B6DDE8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0C4DE"/>
        <bgColor indexed="64"/>
      </patternFill>
    </fill>
    <fill>
      <patternFill patternType="solid">
        <fgColor theme="5" tint="0.79998168889431442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4682B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4682B4"/>
      </left>
      <right style="thin">
        <color rgb="FF000000"/>
      </right>
      <top style="thin">
        <color rgb="FF000000"/>
      </top>
      <bottom style="medium">
        <color rgb="FF4682B4"/>
      </bottom>
      <diagonal/>
    </border>
    <border>
      <left style="thin">
        <color rgb="FF000000"/>
      </left>
      <right style="medium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808080"/>
      </right>
      <top style="thin">
        <color rgb="FF000000"/>
      </top>
      <bottom style="medium">
        <color rgb="FF4682B4"/>
      </bottom>
      <diagonal/>
    </border>
    <border>
      <left/>
      <right/>
      <top/>
      <bottom style="medium">
        <color indexed="64"/>
      </bottom>
      <diagonal/>
    </border>
    <border>
      <left style="medium">
        <color rgb="FF4682B4"/>
      </left>
      <right style="thin">
        <color rgb="FF000000"/>
      </right>
      <top style="medium">
        <color rgb="FF4682B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4682B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4682B4"/>
      </bottom>
      <diagonal/>
    </border>
    <border>
      <left style="thin">
        <color rgb="FF000000"/>
      </left>
      <right style="medium">
        <color rgb="FF808080"/>
      </right>
      <top style="medium">
        <color rgb="FF4682B4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medium">
        <color rgb="FF4682B4"/>
      </right>
      <top style="medium">
        <color rgb="FF4682B4"/>
      </top>
      <bottom style="thin">
        <color rgb="FF000000"/>
      </bottom>
      <diagonal/>
    </border>
    <border>
      <left/>
      <right style="medium">
        <color rgb="FF4682B4"/>
      </right>
      <top/>
      <bottom/>
      <diagonal/>
    </border>
    <border>
      <left style="thin">
        <color rgb="FF000000"/>
      </left>
      <right style="medium">
        <color rgb="FF4682B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4682B4"/>
      </right>
      <top style="thin">
        <color rgb="FF000000"/>
      </top>
      <bottom style="medium">
        <color rgb="FF4682B4"/>
      </bottom>
      <diagonal/>
    </border>
    <border>
      <left style="medium">
        <color rgb="FFD3D3D3"/>
      </left>
      <right style="medium">
        <color rgb="FFD3D3D3"/>
      </right>
      <top style="medium">
        <color rgb="FFD3D3D3"/>
      </top>
      <bottom style="medium">
        <color rgb="FFD3D3D3"/>
      </bottom>
      <diagonal/>
    </border>
    <border>
      <left style="medium">
        <color rgb="FF4682B4"/>
      </left>
      <right style="medium">
        <color rgb="FF808080"/>
      </right>
      <top style="medium">
        <color rgb="FF4682B4"/>
      </top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 style="medium">
        <color rgb="FF4682B4"/>
      </top>
      <bottom style="medium">
        <color rgb="FF808080"/>
      </bottom>
      <diagonal/>
    </border>
    <border>
      <left style="medium">
        <color rgb="FF808080"/>
      </left>
      <right style="medium">
        <color rgb="FF4682B4"/>
      </right>
      <top style="medium">
        <color rgb="FF4682B4"/>
      </top>
      <bottom style="medium">
        <color rgb="FF808080"/>
      </bottom>
      <diagonal/>
    </border>
    <border>
      <left style="medium">
        <color rgb="FF4682B4"/>
      </left>
      <right style="medium">
        <color rgb="FFD3D3D3"/>
      </right>
      <top style="medium">
        <color rgb="FFD3D3D3"/>
      </top>
      <bottom style="medium">
        <color rgb="FFD3D3D3"/>
      </bottom>
      <diagonal/>
    </border>
    <border>
      <left style="medium">
        <color rgb="FFD3D3D3"/>
      </left>
      <right style="medium">
        <color rgb="FF4682B4"/>
      </right>
      <top style="medium">
        <color rgb="FFD3D3D3"/>
      </top>
      <bottom style="medium">
        <color rgb="FFD3D3D3"/>
      </bottom>
      <diagonal/>
    </border>
    <border>
      <left style="medium">
        <color rgb="FF4682B4"/>
      </left>
      <right style="medium">
        <color rgb="FFD3D3D3"/>
      </right>
      <top style="medium">
        <color rgb="FFD3D3D3"/>
      </top>
      <bottom style="medium">
        <color rgb="FF4682B4"/>
      </bottom>
      <diagonal/>
    </border>
    <border>
      <left style="medium">
        <color rgb="FFD3D3D3"/>
      </left>
      <right style="medium">
        <color rgb="FFD3D3D3"/>
      </right>
      <top style="medium">
        <color rgb="FFD3D3D3"/>
      </top>
      <bottom style="medium">
        <color rgb="FF4682B4"/>
      </bottom>
      <diagonal/>
    </border>
    <border>
      <left style="medium">
        <color rgb="FFD3D3D3"/>
      </left>
      <right style="medium">
        <color rgb="FF4682B4"/>
      </right>
      <top style="medium">
        <color rgb="FFD3D3D3"/>
      </top>
      <bottom style="medium">
        <color rgb="FF4682B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91">
    <xf numFmtId="3" fontId="0" fillId="0" borderId="0">
      <alignment horizontal="left" vertical="center" wrapText="1"/>
    </xf>
    <xf numFmtId="43" fontId="5" fillId="0" borderId="0" applyFont="0" applyFill="0" applyBorder="0" applyAlignment="0" applyProtection="0"/>
    <xf numFmtId="177" fontId="9" fillId="0" borderId="0" applyNumberFormat="0" applyFill="0" applyBorder="0" applyAlignment="0" applyProtection="0">
      <alignment vertical="top"/>
      <protection locked="0"/>
    </xf>
    <xf numFmtId="177" fontId="19" fillId="0" borderId="0"/>
    <xf numFmtId="177" fontId="19" fillId="0" borderId="0"/>
    <xf numFmtId="9" fontId="21" fillId="0" borderId="0" applyFont="0" applyFill="0" applyBorder="0" applyAlignment="0" applyProtection="0"/>
    <xf numFmtId="0" fontId="23" fillId="0" borderId="1">
      <alignment horizontal="left" vertical="center" wrapText="1"/>
    </xf>
    <xf numFmtId="177" fontId="35" fillId="0" borderId="0" applyNumberFormat="0" applyFill="0" applyBorder="0" applyAlignment="0" applyProtection="0">
      <alignment vertical="top"/>
      <protection locked="0"/>
    </xf>
    <xf numFmtId="0" fontId="46" fillId="18" borderId="0" applyNumberFormat="0" applyBorder="0" applyAlignment="0" applyProtection="0"/>
    <xf numFmtId="0" fontId="5" fillId="0" borderId="0"/>
    <xf numFmtId="0" fontId="19" fillId="0" borderId="0"/>
    <xf numFmtId="0" fontId="60" fillId="0" borderId="44" applyNumberFormat="0" applyFill="0" applyAlignment="0" applyProtection="0"/>
    <xf numFmtId="0" fontId="61" fillId="0" borderId="45" applyNumberFormat="0" applyFill="0" applyAlignment="0" applyProtection="0"/>
    <xf numFmtId="0" fontId="62" fillId="0" borderId="46" applyNumberFormat="0" applyFill="0" applyAlignment="0" applyProtection="0"/>
    <xf numFmtId="0" fontId="62" fillId="0" borderId="0" applyNumberFormat="0" applyFill="0" applyBorder="0" applyAlignment="0" applyProtection="0"/>
    <xf numFmtId="0" fontId="63" fillId="21" borderId="0" applyNumberFormat="0" applyBorder="0" applyAlignment="0" applyProtection="0"/>
    <xf numFmtId="0" fontId="64" fillId="23" borderId="47" applyNumberFormat="0" applyAlignment="0" applyProtection="0"/>
    <xf numFmtId="0" fontId="65" fillId="24" borderId="48" applyNumberFormat="0" applyAlignment="0" applyProtection="0"/>
    <xf numFmtId="0" fontId="66" fillId="24" borderId="47" applyNumberFormat="0" applyAlignment="0" applyProtection="0"/>
    <xf numFmtId="0" fontId="67" fillId="0" borderId="49" applyNumberFormat="0" applyFill="0" applyAlignment="0" applyProtection="0"/>
    <xf numFmtId="0" fontId="68" fillId="25" borderId="50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52" applyNumberFormat="0" applyFill="0" applyAlignment="0" applyProtection="0"/>
    <xf numFmtId="0" fontId="72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72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72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72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72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72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73" fillId="0" borderId="0"/>
    <xf numFmtId="0" fontId="4" fillId="0" borderId="0"/>
    <xf numFmtId="0" fontId="74" fillId="0" borderId="0" applyNumberFormat="0" applyFill="0" applyBorder="0" applyAlignment="0" applyProtection="0"/>
    <xf numFmtId="0" fontId="75" fillId="22" borderId="0" applyNumberFormat="0" applyBorder="0" applyAlignment="0" applyProtection="0"/>
    <xf numFmtId="0" fontId="4" fillId="26" borderId="51" applyNumberFormat="0" applyFont="0" applyAlignment="0" applyProtection="0"/>
    <xf numFmtId="0" fontId="72" fillId="30" borderId="0" applyNumberFormat="0" applyBorder="0" applyAlignment="0" applyProtection="0"/>
    <xf numFmtId="0" fontId="72" fillId="34" borderId="0" applyNumberFormat="0" applyBorder="0" applyAlignment="0" applyProtection="0"/>
    <xf numFmtId="0" fontId="72" fillId="38" borderId="0" applyNumberFormat="0" applyBorder="0" applyAlignment="0" applyProtection="0"/>
    <xf numFmtId="0" fontId="72" fillId="42" borderId="0" applyNumberFormat="0" applyBorder="0" applyAlignment="0" applyProtection="0"/>
    <xf numFmtId="0" fontId="72" fillId="46" borderId="0" applyNumberFormat="0" applyBorder="0" applyAlignment="0" applyProtection="0"/>
    <xf numFmtId="0" fontId="72" fillId="50" borderId="0" applyNumberFormat="0" applyBorder="0" applyAlignment="0" applyProtection="0"/>
    <xf numFmtId="0" fontId="12" fillId="0" borderId="0"/>
    <xf numFmtId="0" fontId="12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" fillId="0" borderId="0"/>
    <xf numFmtId="0" fontId="3" fillId="0" borderId="0"/>
    <xf numFmtId="0" fontId="5" fillId="0" borderId="0"/>
    <xf numFmtId="43" fontId="5" fillId="0" borderId="0" applyFont="0" applyFill="0" applyBorder="0" applyAlignment="0" applyProtection="0"/>
    <xf numFmtId="0" fontId="136" fillId="0" borderId="0"/>
    <xf numFmtId="177" fontId="5" fillId="0" borderId="0">
      <alignment horizontal="left" vertical="center"/>
    </xf>
    <xf numFmtId="0" fontId="2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26" borderId="51" applyNumberFormat="0" applyFont="0" applyAlignment="0" applyProtection="0"/>
    <xf numFmtId="0" fontId="1" fillId="0" borderId="0"/>
    <xf numFmtId="0" fontId="1" fillId="0" borderId="0"/>
    <xf numFmtId="0" fontId="1" fillId="0" borderId="0"/>
  </cellStyleXfs>
  <cellXfs count="2645">
    <xf numFmtId="3" fontId="0" fillId="0" borderId="0" xfId="0">
      <alignment horizontal="left" vertical="center" wrapText="1"/>
    </xf>
    <xf numFmtId="3" fontId="6" fillId="0" borderId="0" xfId="0" applyFont="1">
      <alignment horizontal="left" vertical="center" wrapText="1"/>
    </xf>
    <xf numFmtId="164" fontId="0" fillId="0" borderId="0" xfId="0" applyNumberFormat="1">
      <alignment horizontal="left" vertical="center" wrapText="1"/>
    </xf>
    <xf numFmtId="165" fontId="0" fillId="0" borderId="0" xfId="0" applyNumberFormat="1">
      <alignment horizontal="left" vertical="center" wrapText="1"/>
    </xf>
    <xf numFmtId="1" fontId="0" fillId="0" borderId="0" xfId="0" applyNumberFormat="1">
      <alignment horizontal="left" vertical="center" wrapText="1"/>
    </xf>
    <xf numFmtId="2" fontId="0" fillId="0" borderId="0" xfId="0" applyNumberFormat="1">
      <alignment horizontal="left" vertical="center" wrapText="1"/>
    </xf>
    <xf numFmtId="15" fontId="6" fillId="0" borderId="0" xfId="0" applyNumberFormat="1" applyFont="1">
      <alignment horizontal="left" vertical="center" wrapText="1"/>
    </xf>
    <xf numFmtId="165" fontId="6" fillId="0" borderId="0" xfId="0" applyNumberFormat="1" applyFont="1">
      <alignment horizontal="left" vertical="center" wrapText="1"/>
    </xf>
    <xf numFmtId="3" fontId="6" fillId="2" borderId="1" xfId="0" applyFont="1" applyFill="1" applyBorder="1" applyAlignment="1">
      <alignment horizontal="center" vertical="center" wrapText="1"/>
    </xf>
    <xf numFmtId="3" fontId="13" fillId="0" borderId="1" xfId="0" applyFont="1" applyBorder="1" applyAlignment="1">
      <alignment wrapText="1"/>
    </xf>
    <xf numFmtId="3" fontId="5" fillId="2" borderId="0" xfId="0" applyFont="1" applyFill="1">
      <alignment horizontal="left" vertical="center" wrapText="1"/>
    </xf>
    <xf numFmtId="1" fontId="15" fillId="0" borderId="0" xfId="0" applyNumberFormat="1" applyFont="1" applyAlignment="1">
      <alignment horizontal="center"/>
    </xf>
    <xf numFmtId="3" fontId="5" fillId="0" borderId="0" xfId="0" applyFont="1">
      <alignment horizontal="left" vertical="center" wrapText="1"/>
    </xf>
    <xf numFmtId="1" fontId="5" fillId="0" borderId="0" xfId="0" applyNumberFormat="1" applyFont="1" applyAlignment="1">
      <alignment horizontal="center"/>
    </xf>
    <xf numFmtId="3" fontId="5" fillId="0" borderId="0" xfId="0" applyFont="1" applyAlignment="1">
      <alignment horizontal="center"/>
    </xf>
    <xf numFmtId="3" fontId="15" fillId="0" borderId="0" xfId="0" applyFont="1">
      <alignment horizontal="left" vertical="center" wrapText="1"/>
    </xf>
    <xf numFmtId="3" fontId="15" fillId="2" borderId="0" xfId="0" applyFont="1" applyFill="1">
      <alignment horizontal="left" vertical="center" wrapText="1"/>
    </xf>
    <xf numFmtId="177" fontId="6" fillId="0" borderId="0" xfId="0" applyNumberFormat="1" applyFont="1">
      <alignment horizontal="left" vertical="center" wrapText="1"/>
    </xf>
    <xf numFmtId="177" fontId="0" fillId="0" borderId="0" xfId="0" applyNumberFormat="1">
      <alignment horizontal="left" vertical="center" wrapText="1"/>
    </xf>
    <xf numFmtId="3" fontId="10" fillId="0" borderId="0" xfId="0" applyFont="1">
      <alignment horizontal="left" vertical="center" wrapText="1"/>
    </xf>
    <xf numFmtId="168" fontId="0" fillId="0" borderId="0" xfId="1" applyNumberFormat="1" applyFont="1"/>
    <xf numFmtId="15" fontId="14" fillId="0" borderId="0" xfId="0" applyNumberFormat="1" applyFont="1" applyAlignment="1">
      <alignment horizontal="center"/>
    </xf>
    <xf numFmtId="2" fontId="10" fillId="0" borderId="0" xfId="0" applyNumberFormat="1" applyFont="1">
      <alignment horizontal="left" vertical="center" wrapText="1"/>
    </xf>
    <xf numFmtId="3" fontId="0" fillId="2" borderId="0" xfId="0" applyFill="1">
      <alignment horizontal="left" vertical="center" wrapText="1"/>
    </xf>
    <xf numFmtId="2" fontId="0" fillId="2" borderId="0" xfId="0" applyNumberFormat="1" applyFill="1">
      <alignment horizontal="left" vertical="center" wrapText="1"/>
    </xf>
    <xf numFmtId="3" fontId="8" fillId="2" borderId="0" xfId="0" applyFont="1" applyFill="1">
      <alignment horizontal="left" vertical="center" wrapText="1"/>
    </xf>
    <xf numFmtId="164" fontId="6" fillId="0" borderId="1" xfId="0" applyNumberFormat="1" applyFont="1" applyBorder="1" applyAlignment="1">
      <alignment horizontal="center"/>
    </xf>
    <xf numFmtId="1" fontId="0" fillId="2" borderId="0" xfId="0" applyNumberFormat="1" applyFill="1" applyAlignment="1">
      <alignment horizontal="center"/>
    </xf>
    <xf numFmtId="3" fontId="10" fillId="2" borderId="1" xfId="0" applyFont="1" applyFill="1" applyBorder="1" applyAlignment="1">
      <alignment wrapText="1"/>
    </xf>
    <xf numFmtId="164" fontId="0" fillId="0" borderId="1" xfId="0" applyNumberFormat="1" applyBorder="1">
      <alignment horizontal="left" vertical="center" wrapText="1"/>
    </xf>
    <xf numFmtId="3" fontId="6" fillId="2" borderId="0" xfId="0" applyFont="1" applyFill="1">
      <alignment horizontal="left" vertical="center" wrapText="1"/>
    </xf>
    <xf numFmtId="3" fontId="0" fillId="0" borderId="1" xfId="0" applyBorder="1">
      <alignment horizontal="left" vertical="center" wrapText="1"/>
    </xf>
    <xf numFmtId="166" fontId="6" fillId="0" borderId="0" xfId="0" applyNumberFormat="1" applyFont="1">
      <alignment horizontal="left" vertical="center" wrapText="1"/>
    </xf>
    <xf numFmtId="164" fontId="17" fillId="0" borderId="1" xfId="0" applyNumberFormat="1" applyFont="1" applyBorder="1" applyAlignment="1">
      <alignment horizontal="center"/>
    </xf>
    <xf numFmtId="3" fontId="18" fillId="0" borderId="0" xfId="0" applyFont="1">
      <alignment horizontal="left" vertical="center" wrapText="1"/>
    </xf>
    <xf numFmtId="164" fontId="6" fillId="0" borderId="1" xfId="0" applyNumberFormat="1" applyFont="1" applyBorder="1">
      <alignment horizontal="left" vertical="center" wrapText="1"/>
    </xf>
    <xf numFmtId="1" fontId="6" fillId="0" borderId="1" xfId="0" applyNumberFormat="1" applyFont="1" applyBorder="1">
      <alignment horizontal="left" vertical="center" wrapText="1"/>
    </xf>
    <xf numFmtId="3" fontId="0" fillId="7" borderId="0" xfId="0" applyFill="1">
      <alignment horizontal="left" vertical="center" wrapText="1"/>
    </xf>
    <xf numFmtId="3" fontId="12" fillId="0" borderId="1" xfId="0" applyFont="1" applyBorder="1">
      <alignment horizontal="left" vertical="center" wrapText="1"/>
    </xf>
    <xf numFmtId="15" fontId="6" fillId="8" borderId="1" xfId="0" applyNumberFormat="1" applyFont="1" applyFill="1" applyBorder="1">
      <alignment horizontal="left" vertical="center" wrapText="1"/>
    </xf>
    <xf numFmtId="14" fontId="6" fillId="8" borderId="5" xfId="0" applyNumberFormat="1" applyFont="1" applyFill="1" applyBorder="1" applyAlignment="1">
      <alignment wrapText="1"/>
    </xf>
    <xf numFmtId="14" fontId="6" fillId="8" borderId="1" xfId="0" applyNumberFormat="1" applyFont="1" applyFill="1" applyBorder="1" applyAlignment="1">
      <alignment wrapText="1"/>
    </xf>
    <xf numFmtId="1" fontId="6" fillId="8" borderId="2" xfId="0" applyNumberFormat="1" applyFont="1" applyFill="1" applyBorder="1">
      <alignment horizontal="left" vertical="center" wrapText="1"/>
    </xf>
    <xf numFmtId="1" fontId="6" fillId="8" borderId="1" xfId="0" applyNumberFormat="1" applyFont="1" applyFill="1" applyBorder="1">
      <alignment horizontal="left" vertical="center" wrapText="1"/>
    </xf>
    <xf numFmtId="164" fontId="17" fillId="0" borderId="0" xfId="0" applyNumberFormat="1" applyFont="1">
      <alignment horizontal="left" vertical="center" wrapText="1"/>
    </xf>
    <xf numFmtId="14" fontId="0" fillId="0" borderId="0" xfId="0" applyNumberFormat="1">
      <alignment horizontal="left" vertical="center" wrapText="1"/>
    </xf>
    <xf numFmtId="169" fontId="5" fillId="0" borderId="0" xfId="0" applyNumberFormat="1" applyFont="1" applyAlignment="1">
      <alignment horizontal="right"/>
    </xf>
    <xf numFmtId="177" fontId="5" fillId="0" borderId="0" xfId="0" applyNumberFormat="1" applyFont="1">
      <alignment horizontal="left" vertical="center" wrapText="1"/>
    </xf>
    <xf numFmtId="1" fontId="5" fillId="0" borderId="0" xfId="0" applyNumberFormat="1" applyFont="1">
      <alignment horizontal="left" vertical="center" wrapText="1"/>
    </xf>
    <xf numFmtId="3" fontId="0" fillId="0" borderId="0" xfId="0" applyAlignment="1">
      <alignment horizontal="left"/>
    </xf>
    <xf numFmtId="177" fontId="19" fillId="0" borderId="0" xfId="3" applyAlignment="1">
      <alignment horizontal="right"/>
    </xf>
    <xf numFmtId="177" fontId="19" fillId="0" borderId="0" xfId="3" applyAlignment="1">
      <alignment horizontal="left"/>
    </xf>
    <xf numFmtId="177" fontId="19" fillId="0" borderId="0" xfId="4" applyAlignment="1">
      <alignment horizontal="left"/>
    </xf>
    <xf numFmtId="3" fontId="5" fillId="0" borderId="1" xfId="0" applyFont="1" applyBorder="1">
      <alignment horizontal="left" vertical="center" wrapText="1"/>
    </xf>
    <xf numFmtId="164" fontId="5" fillId="0" borderId="0" xfId="0" applyNumberFormat="1" applyFont="1">
      <alignment horizontal="left" vertical="center" wrapText="1"/>
    </xf>
    <xf numFmtId="3" fontId="6" fillId="7" borderId="1" xfId="0" applyFont="1" applyFill="1" applyBorder="1">
      <alignment horizontal="left" vertical="center" wrapText="1"/>
    </xf>
    <xf numFmtId="177" fontId="5" fillId="0" borderId="0" xfId="0" applyNumberFormat="1" applyFont="1" applyAlignment="1">
      <alignment horizontal="left"/>
    </xf>
    <xf numFmtId="177" fontId="5" fillId="0" borderId="0" xfId="0" applyNumberFormat="1" applyFont="1" applyAlignment="1">
      <alignment horizontal="right"/>
    </xf>
    <xf numFmtId="3" fontId="20" fillId="0" borderId="0" xfId="0" applyFont="1">
      <alignment horizontal="left" vertical="center" wrapText="1"/>
    </xf>
    <xf numFmtId="169" fontId="20" fillId="0" borderId="0" xfId="0" applyNumberFormat="1" applyFont="1" applyAlignment="1">
      <alignment horizontal="right"/>
    </xf>
    <xf numFmtId="3" fontId="5" fillId="0" borderId="0" xfId="0" applyFont="1" applyAlignment="1">
      <alignment horizontal="left"/>
    </xf>
    <xf numFmtId="1" fontId="5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3" fontId="6" fillId="10" borderId="1" xfId="0" applyFont="1" applyFill="1" applyBorder="1">
      <alignment horizontal="left" vertical="center" wrapText="1"/>
    </xf>
    <xf numFmtId="15" fontId="17" fillId="10" borderId="1" xfId="0" applyNumberFormat="1" applyFont="1" applyFill="1" applyBorder="1">
      <alignment horizontal="left" vertical="center" wrapText="1"/>
    </xf>
    <xf numFmtId="164" fontId="17" fillId="10" borderId="2" xfId="0" applyNumberFormat="1" applyFont="1" applyFill="1" applyBorder="1">
      <alignment horizontal="left" vertical="center" wrapText="1"/>
    </xf>
    <xf numFmtId="15" fontId="17" fillId="10" borderId="1" xfId="0" applyNumberFormat="1" applyFont="1" applyFill="1" applyBorder="1" applyAlignment="1">
      <alignment horizontal="center" wrapText="1"/>
    </xf>
    <xf numFmtId="164" fontId="17" fillId="4" borderId="7" xfId="0" applyNumberFormat="1" applyFont="1" applyFill="1" applyBorder="1" applyAlignment="1">
      <alignment horizontal="left" vertical="top" wrapText="1"/>
    </xf>
    <xf numFmtId="165" fontId="17" fillId="2" borderId="1" xfId="0" applyNumberFormat="1" applyFont="1" applyFill="1" applyBorder="1" applyAlignment="1">
      <alignment horizontal="left" vertical="top" wrapText="1"/>
    </xf>
    <xf numFmtId="164" fontId="17" fillId="2" borderId="1" xfId="0" applyNumberFormat="1" applyFont="1" applyFill="1" applyBorder="1" applyAlignment="1">
      <alignment horizontal="left" vertical="top" wrapText="1"/>
    </xf>
    <xf numFmtId="3" fontId="6" fillId="7" borderId="0" xfId="0" applyFont="1" applyFill="1">
      <alignment horizontal="left" vertical="center" wrapText="1"/>
    </xf>
    <xf numFmtId="15" fontId="6" fillId="7" borderId="1" xfId="0" applyNumberFormat="1" applyFont="1" applyFill="1" applyBorder="1">
      <alignment horizontal="left" vertical="center" wrapText="1"/>
    </xf>
    <xf numFmtId="3" fontId="6" fillId="7" borderId="1" xfId="0" applyFont="1" applyFill="1" applyBorder="1" applyAlignment="1">
      <alignment horizontal="center"/>
    </xf>
    <xf numFmtId="15" fontId="6" fillId="7" borderId="1" xfId="0" applyNumberFormat="1" applyFont="1" applyFill="1" applyBorder="1" applyAlignment="1">
      <alignment vertical="top" wrapText="1"/>
    </xf>
    <xf numFmtId="167" fontId="5" fillId="0" borderId="0" xfId="0" applyNumberFormat="1" applyFont="1">
      <alignment horizontal="left" vertical="center" wrapText="1"/>
    </xf>
    <xf numFmtId="3" fontId="0" fillId="7" borderId="1" xfId="0" applyFill="1" applyBorder="1">
      <alignment horizontal="left" vertical="center" wrapText="1"/>
    </xf>
    <xf numFmtId="3" fontId="5" fillId="7" borderId="1" xfId="0" applyFont="1" applyFill="1" applyBorder="1">
      <alignment horizontal="left" vertical="center" wrapText="1"/>
    </xf>
    <xf numFmtId="3" fontId="5" fillId="7" borderId="0" xfId="0" applyFont="1" applyFill="1" applyAlignment="1">
      <alignment horizontal="center"/>
    </xf>
    <xf numFmtId="3" fontId="0" fillId="0" borderId="0" xfId="0" applyAlignment="1">
      <alignment horizontal="left" vertical="top" wrapText="1"/>
    </xf>
    <xf numFmtId="1" fontId="0" fillId="0" borderId="1" xfId="0" applyNumberFormat="1" applyBorder="1">
      <alignment horizontal="left" vertical="center" wrapText="1"/>
    </xf>
    <xf numFmtId="3" fontId="6" fillId="0" borderId="0" xfId="0" applyFont="1" applyAlignment="1">
      <alignment horizontal="center"/>
    </xf>
    <xf numFmtId="3" fontId="6" fillId="2" borderId="0" xfId="0" applyFont="1" applyFill="1" applyAlignment="1">
      <alignment horizontal="center"/>
    </xf>
    <xf numFmtId="3" fontId="5" fillId="0" borderId="1" xfId="0" applyFont="1" applyBorder="1" applyAlignment="1">
      <alignment horizontal="center"/>
    </xf>
    <xf numFmtId="3" fontId="5" fillId="0" borderId="1" xfId="0" applyFont="1" applyBorder="1" applyAlignment="1">
      <alignment wrapText="1"/>
    </xf>
    <xf numFmtId="164" fontId="5" fillId="2" borderId="1" xfId="0" applyNumberFormat="1" applyFont="1" applyFill="1" applyBorder="1" applyAlignment="1">
      <alignment horizontal="center"/>
    </xf>
    <xf numFmtId="1" fontId="5" fillId="2" borderId="1" xfId="0" applyNumberFormat="1" applyFont="1" applyFill="1" applyBorder="1" applyAlignment="1">
      <alignment horizontal="center"/>
    </xf>
    <xf numFmtId="3" fontId="5" fillId="2" borderId="1" xfId="0" applyFont="1" applyFill="1" applyBorder="1" applyAlignment="1">
      <alignment horizontal="center"/>
    </xf>
    <xf numFmtId="1" fontId="5" fillId="0" borderId="1" xfId="0" applyNumberFormat="1" applyFont="1" applyBorder="1">
      <alignment horizontal="left" vertical="center" wrapText="1"/>
    </xf>
    <xf numFmtId="164" fontId="5" fillId="0" borderId="1" xfId="0" applyNumberFormat="1" applyFont="1" applyBorder="1">
      <alignment horizontal="left" vertical="center" wrapText="1"/>
    </xf>
    <xf numFmtId="170" fontId="6" fillId="0" borderId="1" xfId="0" applyNumberFormat="1" applyFont="1" applyBorder="1" applyAlignment="1">
      <alignment horizontal="center"/>
    </xf>
    <xf numFmtId="3" fontId="23" fillId="0" borderId="1" xfId="0" applyFont="1" applyBorder="1">
      <alignment horizontal="left" vertical="center" wrapText="1"/>
    </xf>
    <xf numFmtId="3" fontId="25" fillId="0" borderId="0" xfId="0" applyFont="1">
      <alignment horizontal="left" vertical="center" wrapText="1"/>
    </xf>
    <xf numFmtId="14" fontId="5" fillId="0" borderId="0" xfId="0" applyNumberFormat="1" applyFont="1" applyAlignment="1">
      <alignment horizontal="right"/>
    </xf>
    <xf numFmtId="3" fontId="0" fillId="0" borderId="0" xfId="0" applyAlignment="1">
      <alignment horizontal="left" vertical="top"/>
    </xf>
    <xf numFmtId="3" fontId="25" fillId="7" borderId="0" xfId="0" applyFont="1" applyFill="1">
      <alignment horizontal="left" vertical="center" wrapText="1"/>
    </xf>
    <xf numFmtId="3" fontId="22" fillId="7" borderId="1" xfId="0" applyFont="1" applyFill="1" applyBorder="1">
      <alignment horizontal="left" vertical="center" wrapText="1"/>
    </xf>
    <xf numFmtId="3" fontId="22" fillId="0" borderId="1" xfId="0" applyFont="1" applyBorder="1" applyAlignment="1">
      <alignment horizontal="center"/>
    </xf>
    <xf numFmtId="20" fontId="25" fillId="0" borderId="1" xfId="0" applyNumberFormat="1" applyFont="1" applyBorder="1">
      <alignment horizontal="left" vertical="center" wrapText="1"/>
    </xf>
    <xf numFmtId="3" fontId="25" fillId="0" borderId="1" xfId="0" applyFont="1" applyBorder="1">
      <alignment horizontal="left" vertical="center" wrapText="1"/>
    </xf>
    <xf numFmtId="3" fontId="22" fillId="7" borderId="10" xfId="0" applyFont="1" applyFill="1" applyBorder="1" applyAlignment="1">
      <alignment horizontal="center"/>
    </xf>
    <xf numFmtId="3" fontId="25" fillId="7" borderId="0" xfId="0" applyFont="1" applyFill="1" applyAlignment="1">
      <alignment horizontal="left"/>
    </xf>
    <xf numFmtId="3" fontId="22" fillId="7" borderId="1" xfId="0" applyFont="1" applyFill="1" applyBorder="1" applyAlignment="1">
      <alignment horizontal="center"/>
    </xf>
    <xf numFmtId="3" fontId="25" fillId="0" borderId="0" xfId="0" applyFont="1" applyAlignment="1">
      <alignment horizontal="left"/>
    </xf>
    <xf numFmtId="177" fontId="25" fillId="0" borderId="0" xfId="0" applyNumberFormat="1" applyFont="1" applyAlignment="1">
      <alignment horizontal="left"/>
    </xf>
    <xf numFmtId="177" fontId="27" fillId="0" borderId="0" xfId="3" applyFont="1" applyAlignment="1">
      <alignment horizontal="left"/>
    </xf>
    <xf numFmtId="3" fontId="25" fillId="0" borderId="0" xfId="0" applyFont="1" applyAlignment="1">
      <alignment horizontal="left" vertical="top"/>
    </xf>
    <xf numFmtId="14" fontId="25" fillId="0" borderId="0" xfId="0" applyNumberFormat="1" applyFont="1">
      <alignment horizontal="left" vertical="center" wrapText="1"/>
    </xf>
    <xf numFmtId="2" fontId="25" fillId="0" borderId="0" xfId="0" applyNumberFormat="1" applyFont="1">
      <alignment horizontal="left" vertical="center" wrapText="1"/>
    </xf>
    <xf numFmtId="3" fontId="23" fillId="0" borderId="0" xfId="0" applyFont="1">
      <alignment horizontal="left" vertical="center" wrapText="1"/>
    </xf>
    <xf numFmtId="3" fontId="22" fillId="0" borderId="1" xfId="0" applyFont="1" applyBorder="1">
      <alignment horizontal="left" vertical="center" wrapText="1"/>
    </xf>
    <xf numFmtId="3" fontId="22" fillId="0" borderId="1" xfId="0" applyFont="1" applyBorder="1" applyAlignment="1">
      <alignment wrapText="1"/>
    </xf>
    <xf numFmtId="3" fontId="25" fillId="7" borderId="1" xfId="0" applyFont="1" applyFill="1" applyBorder="1">
      <alignment horizontal="left" vertical="center" wrapText="1"/>
    </xf>
    <xf numFmtId="3" fontId="0" fillId="0" borderId="0" xfId="0" applyAlignment="1">
      <alignment wrapText="1"/>
    </xf>
    <xf numFmtId="164" fontId="0" fillId="15" borderId="1" xfId="0" applyNumberFormat="1" applyFill="1" applyBorder="1" applyAlignment="1">
      <alignment horizontal="center"/>
    </xf>
    <xf numFmtId="3" fontId="23" fillId="0" borderId="1" xfId="0" applyFont="1" applyBorder="1" applyAlignment="1">
      <alignment wrapText="1"/>
    </xf>
    <xf numFmtId="164" fontId="23" fillId="0" borderId="1" xfId="0" applyNumberFormat="1" applyFont="1" applyBorder="1" applyAlignment="1">
      <alignment horizontal="center"/>
    </xf>
    <xf numFmtId="3" fontId="6" fillId="15" borderId="1" xfId="0" applyFont="1" applyFill="1" applyBorder="1" applyAlignment="1">
      <alignment wrapText="1"/>
    </xf>
    <xf numFmtId="164" fontId="5" fillId="0" borderId="0" xfId="0" applyNumberFormat="1" applyFont="1" applyAlignment="1">
      <alignment horizontal="right"/>
    </xf>
    <xf numFmtId="3" fontId="6" fillId="0" borderId="1" xfId="0" applyFont="1" applyBorder="1" applyAlignment="1">
      <alignment horizontal="center"/>
    </xf>
    <xf numFmtId="2" fontId="6" fillId="0" borderId="0" xfId="0" applyNumberFormat="1" applyFont="1">
      <alignment horizontal="left" vertical="center" wrapText="1"/>
    </xf>
    <xf numFmtId="1" fontId="6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64" fontId="17" fillId="2" borderId="0" xfId="0" applyNumberFormat="1" applyFont="1" applyFill="1" applyAlignment="1">
      <alignment horizontal="left" vertical="top" wrapText="1"/>
    </xf>
    <xf numFmtId="3" fontId="10" fillId="0" borderId="1" xfId="0" applyFont="1" applyBorder="1" applyAlignment="1">
      <alignment wrapText="1"/>
    </xf>
    <xf numFmtId="1" fontId="24" fillId="0" borderId="1" xfId="0" applyNumberFormat="1" applyFont="1" applyBorder="1" applyAlignment="1">
      <alignment horizontal="center"/>
    </xf>
    <xf numFmtId="165" fontId="24" fillId="0" borderId="0" xfId="0" applyNumberFormat="1" applyFont="1">
      <alignment horizontal="left" vertical="center" wrapText="1"/>
    </xf>
    <xf numFmtId="165" fontId="24" fillId="0" borderId="1" xfId="0" applyNumberFormat="1" applyFont="1" applyBorder="1" applyAlignment="1">
      <alignment horizontal="right"/>
    </xf>
    <xf numFmtId="15" fontId="24" fillId="2" borderId="1" xfId="0" applyNumberFormat="1" applyFont="1" applyFill="1" applyBorder="1" applyAlignment="1">
      <alignment horizontal="center"/>
    </xf>
    <xf numFmtId="164" fontId="24" fillId="2" borderId="1" xfId="0" applyNumberFormat="1" applyFont="1" applyFill="1" applyBorder="1">
      <alignment horizontal="left" vertical="center" wrapText="1"/>
    </xf>
    <xf numFmtId="165" fontId="24" fillId="2" borderId="1" xfId="0" applyNumberFormat="1" applyFont="1" applyFill="1" applyBorder="1" applyAlignment="1">
      <alignment horizontal="left" vertical="top" wrapText="1"/>
    </xf>
    <xf numFmtId="3" fontId="24" fillId="2" borderId="1" xfId="0" applyFont="1" applyFill="1" applyBorder="1" applyAlignment="1">
      <alignment horizontal="center"/>
    </xf>
    <xf numFmtId="164" fontId="24" fillId="2" borderId="1" xfId="0" applyNumberFormat="1" applyFont="1" applyFill="1" applyBorder="1" applyAlignment="1">
      <alignment horizontal="center"/>
    </xf>
    <xf numFmtId="3" fontId="24" fillId="2" borderId="1" xfId="0" applyFont="1" applyFill="1" applyBorder="1">
      <alignment horizontal="left" vertical="center" wrapText="1"/>
    </xf>
    <xf numFmtId="3" fontId="24" fillId="2" borderId="1" xfId="0" applyFont="1" applyFill="1" applyBorder="1" applyAlignment="1">
      <alignment horizontal="right"/>
    </xf>
    <xf numFmtId="3" fontId="24" fillId="0" borderId="0" xfId="0" applyFont="1" applyAlignment="1">
      <alignment horizontal="right"/>
    </xf>
    <xf numFmtId="3" fontId="24" fillId="0" borderId="0" xfId="0" applyFont="1" applyAlignment="1">
      <alignment horizontal="center"/>
    </xf>
    <xf numFmtId="1" fontId="23" fillId="0" borderId="1" xfId="0" applyNumberFormat="1" applyFont="1" applyBorder="1" applyAlignment="1">
      <alignment horizontal="center"/>
    </xf>
    <xf numFmtId="165" fontId="24" fillId="0" borderId="1" xfId="0" applyNumberFormat="1" applyFont="1" applyBorder="1" applyAlignment="1">
      <alignment horizontal="left" vertical="top" wrapText="1"/>
    </xf>
    <xf numFmtId="3" fontId="24" fillId="0" borderId="1" xfId="0" applyFont="1" applyBorder="1" applyAlignment="1">
      <alignment horizontal="center"/>
    </xf>
    <xf numFmtId="3" fontId="24" fillId="0" borderId="1" xfId="0" applyFont="1" applyBorder="1">
      <alignment horizontal="left" vertical="center" wrapText="1"/>
    </xf>
    <xf numFmtId="164" fontId="24" fillId="2" borderId="2" xfId="0" applyNumberFormat="1" applyFont="1" applyFill="1" applyBorder="1" applyAlignment="1">
      <alignment horizontal="center"/>
    </xf>
    <xf numFmtId="1" fontId="24" fillId="2" borderId="1" xfId="0" applyNumberFormat="1" applyFont="1" applyFill="1" applyBorder="1" applyAlignment="1">
      <alignment horizontal="center"/>
    </xf>
    <xf numFmtId="165" fontId="24" fillId="0" borderId="0" xfId="0" applyNumberFormat="1" applyFont="1" applyAlignment="1">
      <alignment horizontal="right"/>
    </xf>
    <xf numFmtId="165" fontId="24" fillId="0" borderId="0" xfId="0" applyNumberFormat="1" applyFont="1" applyAlignment="1">
      <alignment horizontal="left" vertical="top" wrapText="1"/>
    </xf>
    <xf numFmtId="3" fontId="24" fillId="0" borderId="6" xfId="0" applyFont="1" applyBorder="1" applyAlignment="1">
      <alignment horizontal="right"/>
    </xf>
    <xf numFmtId="165" fontId="23" fillId="0" borderId="1" xfId="0" applyNumberFormat="1" applyFont="1" applyBorder="1" applyAlignment="1">
      <alignment horizontal="left" vertical="top" wrapText="1"/>
    </xf>
    <xf numFmtId="0" fontId="23" fillId="0" borderId="0" xfId="6" applyBorder="1">
      <alignment horizontal="left" vertical="center" wrapText="1"/>
    </xf>
    <xf numFmtId="3" fontId="13" fillId="0" borderId="8" xfId="0" applyFont="1" applyBorder="1" applyAlignment="1">
      <alignment vertical="top" wrapText="1"/>
    </xf>
    <xf numFmtId="3" fontId="6" fillId="2" borderId="1" xfId="0" applyFont="1" applyFill="1" applyBorder="1" applyAlignment="1">
      <alignment horizontal="center"/>
    </xf>
    <xf numFmtId="3" fontId="6" fillId="2" borderId="1" xfId="0" applyFont="1" applyFill="1" applyBorder="1" applyAlignment="1">
      <alignment horizontal="center" wrapText="1"/>
    </xf>
    <xf numFmtId="3" fontId="25" fillId="7" borderId="1" xfId="0" applyFont="1" applyFill="1" applyBorder="1" applyAlignment="1">
      <alignment vertical="top"/>
    </xf>
    <xf numFmtId="14" fontId="22" fillId="7" borderId="1" xfId="0" applyNumberFormat="1" applyFont="1" applyFill="1" applyBorder="1" applyAlignment="1">
      <alignment horizontal="center" vertical="center"/>
    </xf>
    <xf numFmtId="3" fontId="25" fillId="0" borderId="1" xfId="0" applyFont="1" applyBorder="1" applyAlignment="1">
      <alignment horizontal="left"/>
    </xf>
    <xf numFmtId="2" fontId="25" fillId="0" borderId="1" xfId="0" applyNumberFormat="1" applyFont="1" applyBorder="1" applyAlignment="1">
      <alignment horizontal="center"/>
    </xf>
    <xf numFmtId="3" fontId="10" fillId="7" borderId="1" xfId="0" applyFont="1" applyFill="1" applyBorder="1">
      <alignment horizontal="left" vertical="center" wrapText="1"/>
    </xf>
    <xf numFmtId="3" fontId="6" fillId="7" borderId="1" xfId="0" applyFont="1" applyFill="1" applyBorder="1" applyAlignment="1">
      <alignment horizontal="center" vertical="center"/>
    </xf>
    <xf numFmtId="0" fontId="23" fillId="0" borderId="1" xfId="6">
      <alignment horizontal="left" vertical="center" wrapText="1"/>
    </xf>
    <xf numFmtId="177" fontId="5" fillId="0" borderId="0" xfId="0" applyNumberFormat="1" applyFont="1" applyAlignment="1"/>
    <xf numFmtId="164" fontId="5" fillId="0" borderId="0" xfId="0" applyNumberFormat="1" applyFont="1" applyAlignment="1"/>
    <xf numFmtId="177" fontId="5" fillId="0" borderId="1" xfId="0" applyNumberFormat="1" applyFont="1" applyBorder="1" applyAlignment="1"/>
    <xf numFmtId="177" fontId="5" fillId="0" borderId="1" xfId="0" applyNumberFormat="1" applyFont="1" applyBorder="1" applyAlignment="1">
      <alignment horizontal="left"/>
    </xf>
    <xf numFmtId="14" fontId="6" fillId="7" borderId="1" xfId="0" applyNumberFormat="1" applyFont="1" applyFill="1" applyBorder="1" applyAlignment="1">
      <alignment horizontal="left"/>
    </xf>
    <xf numFmtId="3" fontId="5" fillId="7" borderId="1" xfId="0" applyFont="1" applyFill="1" applyBorder="1" applyAlignment="1">
      <alignment horizontal="left"/>
    </xf>
    <xf numFmtId="175" fontId="5" fillId="0" borderId="0" xfId="0" applyNumberFormat="1" applyFont="1" applyAlignment="1">
      <alignment horizontal="left"/>
    </xf>
    <xf numFmtId="177" fontId="25" fillId="0" borderId="1" xfId="0" applyNumberFormat="1" applyFont="1" applyBorder="1" applyAlignment="1"/>
    <xf numFmtId="3" fontId="25" fillId="0" borderId="1" xfId="0" applyFont="1" applyBorder="1" applyAlignment="1">
      <alignment vertical="center"/>
    </xf>
    <xf numFmtId="3" fontId="25" fillId="0" borderId="1" xfId="0" applyFont="1" applyBorder="1" applyAlignment="1">
      <alignment horizontal="left" vertical="center"/>
    </xf>
    <xf numFmtId="176" fontId="23" fillId="0" borderId="0" xfId="0" applyNumberFormat="1" applyFont="1">
      <alignment horizontal="left" vertical="center" wrapText="1"/>
    </xf>
    <xf numFmtId="3" fontId="22" fillId="0" borderId="1" xfId="0" applyFont="1" applyBorder="1" applyAlignment="1">
      <alignment horizontal="left" vertical="center"/>
    </xf>
    <xf numFmtId="177" fontId="19" fillId="0" borderId="0" xfId="3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4" fontId="6" fillId="0" borderId="0" xfId="0" applyNumberFormat="1" applyFont="1" applyAlignment="1"/>
    <xf numFmtId="165" fontId="6" fillId="0" borderId="0" xfId="0" applyNumberFormat="1" applyFont="1" applyAlignment="1"/>
    <xf numFmtId="177" fontId="0" fillId="0" borderId="0" xfId="0" applyNumberFormat="1" applyAlignment="1">
      <alignment horizontal="left"/>
    </xf>
    <xf numFmtId="1" fontId="5" fillId="0" borderId="0" xfId="0" applyNumberFormat="1" applyFont="1" applyAlignment="1"/>
    <xf numFmtId="14" fontId="5" fillId="0" borderId="0" xfId="0" applyNumberFormat="1" applyFont="1" applyAlignment="1"/>
    <xf numFmtId="1" fontId="0" fillId="0" borderId="0" xfId="0" applyNumberFormat="1" applyAlignment="1"/>
    <xf numFmtId="164" fontId="5" fillId="0" borderId="0" xfId="0" applyNumberFormat="1" applyFont="1" applyAlignment="1">
      <alignment horizontal="left"/>
    </xf>
    <xf numFmtId="1" fontId="5" fillId="0" borderId="0" xfId="0" applyNumberFormat="1" applyFont="1" applyAlignment="1">
      <alignment horizontal="left"/>
    </xf>
    <xf numFmtId="1" fontId="6" fillId="2" borderId="1" xfId="0" applyNumberFormat="1" applyFont="1" applyFill="1" applyBorder="1" applyAlignment="1">
      <alignment horizontal="center" vertical="center"/>
    </xf>
    <xf numFmtId="3" fontId="23" fillId="2" borderId="1" xfId="0" applyFont="1" applyFill="1" applyBorder="1" applyAlignment="1">
      <alignment horizontal="center"/>
    </xf>
    <xf numFmtId="164" fontId="23" fillId="2" borderId="1" xfId="0" applyNumberFormat="1" applyFont="1" applyFill="1" applyBorder="1" applyAlignment="1">
      <alignment horizontal="center"/>
    </xf>
    <xf numFmtId="3" fontId="23" fillId="0" borderId="1" xfId="0" applyFont="1" applyBorder="1" applyAlignment="1">
      <alignment horizontal="center"/>
    </xf>
    <xf numFmtId="3" fontId="10" fillId="0" borderId="0" xfId="0" applyFont="1" applyAlignment="1">
      <alignment horizontal="left" vertical="center"/>
    </xf>
    <xf numFmtId="164" fontId="5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" fontId="10" fillId="0" borderId="1" xfId="0" applyNumberFormat="1" applyFont="1" applyBorder="1" applyAlignment="1">
      <alignment horizontal="center"/>
    </xf>
    <xf numFmtId="2" fontId="25" fillId="0" borderId="0" xfId="0" applyNumberFormat="1" applyFont="1" applyAlignment="1">
      <alignment horizontal="center"/>
    </xf>
    <xf numFmtId="2" fontId="25" fillId="0" borderId="1" xfId="0" applyNumberFormat="1" applyFont="1" applyBorder="1" applyAlignment="1">
      <alignment horizontal="center" vertical="center"/>
    </xf>
    <xf numFmtId="2" fontId="25" fillId="0" borderId="10" xfId="0" applyNumberFormat="1" applyFont="1" applyBorder="1" applyAlignment="1">
      <alignment horizontal="center"/>
    </xf>
    <xf numFmtId="165" fontId="25" fillId="0" borderId="0" xfId="0" applyNumberFormat="1" applyFont="1" applyAlignment="1">
      <alignment horizontal="center"/>
    </xf>
    <xf numFmtId="3" fontId="31" fillId="0" borderId="0" xfId="0" applyFont="1">
      <alignment horizontal="left" vertical="center" wrapText="1"/>
    </xf>
    <xf numFmtId="3" fontId="31" fillId="0" borderId="0" xfId="0" applyFont="1" applyAlignment="1">
      <alignment horizontal="left" vertical="top"/>
    </xf>
    <xf numFmtId="3" fontId="31" fillId="0" borderId="0" xfId="0" applyFont="1" applyAlignment="1">
      <alignment horizontal="center"/>
    </xf>
    <xf numFmtId="3" fontId="31" fillId="0" borderId="0" xfId="0" applyFont="1" applyAlignment="1">
      <alignment horizontal="left" vertical="top" wrapText="1"/>
    </xf>
    <xf numFmtId="2" fontId="31" fillId="0" borderId="0" xfId="0" applyNumberFormat="1" applyFont="1">
      <alignment horizontal="left" vertical="center" wrapText="1"/>
    </xf>
    <xf numFmtId="3" fontId="31" fillId="7" borderId="0" xfId="0" applyFont="1" applyFill="1" applyAlignment="1"/>
    <xf numFmtId="3" fontId="31" fillId="7" borderId="8" xfId="0" applyFont="1" applyFill="1" applyBorder="1" applyAlignment="1"/>
    <xf numFmtId="2" fontId="31" fillId="0" borderId="1" xfId="0" applyNumberFormat="1" applyFont="1" applyBorder="1" applyAlignment="1">
      <alignment horizontal="center" vertical="center"/>
    </xf>
    <xf numFmtId="2" fontId="33" fillId="0" borderId="1" xfId="0" applyNumberFormat="1" applyFont="1" applyBorder="1" applyAlignment="1">
      <alignment horizontal="center" vertical="center"/>
    </xf>
    <xf numFmtId="3" fontId="32" fillId="0" borderId="0" xfId="0" applyFont="1" applyAlignment="1">
      <alignment horizontal="center" vertical="center"/>
    </xf>
    <xf numFmtId="3" fontId="31" fillId="0" borderId="0" xfId="0" applyFont="1" applyAlignment="1">
      <alignment horizontal="center" vertical="top"/>
    </xf>
    <xf numFmtId="3" fontId="31" fillId="0" borderId="0" xfId="0" applyFont="1" applyAlignment="1">
      <alignment horizontal="center" vertical="top" wrapText="1"/>
    </xf>
    <xf numFmtId="14" fontId="31" fillId="0" borderId="0" xfId="0" applyNumberFormat="1" applyFont="1">
      <alignment horizontal="left" vertical="center" wrapText="1"/>
    </xf>
    <xf numFmtId="165" fontId="31" fillId="0" borderId="0" xfId="0" applyNumberFormat="1" applyFont="1" applyAlignment="1">
      <alignment horizontal="center"/>
    </xf>
    <xf numFmtId="177" fontId="5" fillId="0" borderId="0" xfId="0" applyNumberFormat="1" applyFont="1" applyAlignment="1">
      <alignment horizontal="center" vertical="center" wrapText="1"/>
    </xf>
    <xf numFmtId="3" fontId="31" fillId="7" borderId="1" xfId="0" applyFont="1" applyFill="1" applyBorder="1" applyAlignment="1">
      <alignment horizontal="center" vertical="center"/>
    </xf>
    <xf numFmtId="3" fontId="31" fillId="7" borderId="1" xfId="0" applyFont="1" applyFill="1" applyBorder="1" applyAlignment="1">
      <alignment horizontal="center" vertical="center" wrapText="1"/>
    </xf>
    <xf numFmtId="177" fontId="5" fillId="7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/>
    </xf>
    <xf numFmtId="3" fontId="5" fillId="7" borderId="1" xfId="0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/>
    </xf>
    <xf numFmtId="2" fontId="23" fillId="0" borderId="1" xfId="0" applyNumberFormat="1" applyFont="1" applyBorder="1" applyAlignment="1">
      <alignment horizontal="center"/>
    </xf>
    <xf numFmtId="1" fontId="10" fillId="7" borderId="1" xfId="0" applyNumberFormat="1" applyFont="1" applyFill="1" applyBorder="1">
      <alignment horizontal="left" vertical="center" wrapText="1"/>
    </xf>
    <xf numFmtId="3" fontId="25" fillId="0" borderId="5" xfId="0" applyFont="1" applyBorder="1" applyAlignment="1">
      <alignment horizontal="center"/>
    </xf>
    <xf numFmtId="3" fontId="37" fillId="0" borderId="1" xfId="0" applyFont="1" applyBorder="1">
      <alignment horizontal="left" vertical="center" wrapText="1"/>
    </xf>
    <xf numFmtId="170" fontId="6" fillId="0" borderId="1" xfId="0" applyNumberFormat="1" applyFont="1" applyBorder="1">
      <alignment horizontal="left" vertical="center" wrapText="1"/>
    </xf>
    <xf numFmtId="3" fontId="10" fillId="7" borderId="2" xfId="0" applyFont="1" applyFill="1" applyBorder="1">
      <alignment horizontal="left" vertical="center" wrapText="1"/>
    </xf>
    <xf numFmtId="3" fontId="34" fillId="0" borderId="1" xfId="0" applyFont="1" applyBorder="1">
      <alignment horizontal="left" vertical="center" wrapText="1"/>
    </xf>
    <xf numFmtId="3" fontId="34" fillId="0" borderId="1" xfId="0" applyFont="1" applyBorder="1" applyAlignment="1"/>
    <xf numFmtId="170" fontId="34" fillId="0" borderId="1" xfId="0" applyNumberFormat="1" applyFont="1" applyBorder="1">
      <alignment horizontal="left" vertical="center" wrapText="1"/>
    </xf>
    <xf numFmtId="4" fontId="34" fillId="0" borderId="1" xfId="0" applyNumberFormat="1" applyFont="1" applyBorder="1">
      <alignment horizontal="left" vertical="center" wrapText="1"/>
    </xf>
    <xf numFmtId="178" fontId="34" fillId="0" borderId="1" xfId="0" applyNumberFormat="1" applyFont="1" applyBorder="1">
      <alignment horizontal="left" vertical="center" wrapText="1"/>
    </xf>
    <xf numFmtId="170" fontId="36" fillId="0" borderId="1" xfId="0" applyNumberFormat="1" applyFont="1" applyBorder="1" applyAlignment="1">
      <alignment horizontal="left"/>
    </xf>
    <xf numFmtId="4" fontId="36" fillId="0" borderId="1" xfId="0" applyNumberFormat="1" applyFont="1" applyBorder="1" applyAlignment="1">
      <alignment horizontal="left"/>
    </xf>
    <xf numFmtId="0" fontId="5" fillId="0" borderId="0" xfId="0" applyNumberFormat="1" applyFont="1" applyAlignment="1"/>
    <xf numFmtId="0" fontId="5" fillId="0" borderId="0" xfId="0" applyNumberFormat="1" applyFont="1" applyAlignment="1">
      <alignment horizontal="left"/>
    </xf>
    <xf numFmtId="0" fontId="0" fillId="0" borderId="0" xfId="0" applyNumberFormat="1" applyAlignment="1">
      <alignment horizontal="left"/>
    </xf>
    <xf numFmtId="0" fontId="19" fillId="0" borderId="0" xfId="3" applyNumberFormat="1" applyAlignment="1">
      <alignment horizontal="left"/>
    </xf>
    <xf numFmtId="0" fontId="19" fillId="0" borderId="0" xfId="3" applyNumberFormat="1" applyAlignment="1">
      <alignment horizontal="right"/>
    </xf>
    <xf numFmtId="0" fontId="5" fillId="0" borderId="0" xfId="0" applyNumberFormat="1" applyFont="1" applyAlignment="1">
      <alignment horizontal="right"/>
    </xf>
    <xf numFmtId="0" fontId="19" fillId="0" borderId="0" xfId="4" applyNumberFormat="1" applyAlignment="1">
      <alignment horizontal="left"/>
    </xf>
    <xf numFmtId="0" fontId="0" fillId="0" borderId="0" xfId="0" applyNumberFormat="1" applyAlignment="1"/>
    <xf numFmtId="4" fontId="0" fillId="0" borderId="1" xfId="0" applyNumberFormat="1" applyBorder="1">
      <alignment horizontal="left" vertical="center" wrapText="1"/>
    </xf>
    <xf numFmtId="170" fontId="0" fillId="0" borderId="1" xfId="0" applyNumberFormat="1" applyBorder="1">
      <alignment horizontal="left" vertical="center" wrapText="1"/>
    </xf>
    <xf numFmtId="4" fontId="0" fillId="0" borderId="1" xfId="0" applyNumberFormat="1" applyBorder="1" applyAlignment="1">
      <alignment horizontal="center" vertical="center" wrapText="1"/>
    </xf>
    <xf numFmtId="170" fontId="0" fillId="0" borderId="1" xfId="0" applyNumberFormat="1" applyBorder="1" applyAlignment="1">
      <alignment horizontal="center" vertical="center" wrapText="1"/>
    </xf>
    <xf numFmtId="4" fontId="0" fillId="0" borderId="0" xfId="0" applyNumberFormat="1">
      <alignment horizontal="left" vertical="center" wrapText="1"/>
    </xf>
    <xf numFmtId="0" fontId="5" fillId="0" borderId="1" xfId="0" applyNumberFormat="1" applyFont="1" applyBorder="1" applyAlignment="1">
      <alignment horizontal="center"/>
    </xf>
    <xf numFmtId="0" fontId="5" fillId="7" borderId="1" xfId="0" applyNumberFormat="1" applyFont="1" applyFill="1" applyBorder="1" applyAlignment="1"/>
    <xf numFmtId="177" fontId="5" fillId="0" borderId="0" xfId="0" applyNumberFormat="1" applyFont="1" applyAlignment="1">
      <alignment horizontal="center" vertical="center"/>
    </xf>
    <xf numFmtId="3" fontId="38" fillId="0" borderId="0" xfId="0" applyFont="1">
      <alignment horizontal="left" vertical="center" wrapText="1"/>
    </xf>
    <xf numFmtId="0" fontId="5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3" fontId="5" fillId="0" borderId="1" xfId="0" applyFont="1" applyBorder="1" applyAlignment="1">
      <alignment horizontal="center" vertical="center"/>
    </xf>
    <xf numFmtId="2" fontId="31" fillId="7" borderId="1" xfId="0" applyNumberFormat="1" applyFont="1" applyFill="1" applyBorder="1" applyAlignment="1">
      <alignment horizontal="center" vertical="center" wrapText="1"/>
    </xf>
    <xf numFmtId="181" fontId="5" fillId="0" borderId="0" xfId="0" applyNumberFormat="1" applyFont="1" applyAlignment="1"/>
    <xf numFmtId="177" fontId="7" fillId="0" borderId="0" xfId="0" applyNumberFormat="1" applyFont="1" applyAlignment="1">
      <alignment horizontal="left"/>
    </xf>
    <xf numFmtId="3" fontId="6" fillId="0" borderId="0" xfId="0" applyFont="1" applyAlignment="1">
      <alignment horizontal="center" vertical="center"/>
    </xf>
    <xf numFmtId="3" fontId="5" fillId="0" borderId="0" xfId="0" applyFont="1" applyAlignment="1">
      <alignment horizontal="left" vertical="center"/>
    </xf>
    <xf numFmtId="3" fontId="0" fillId="0" borderId="0" xfId="0" applyAlignment="1">
      <alignment horizontal="left" vertical="center"/>
    </xf>
    <xf numFmtId="170" fontId="6" fillId="0" borderId="1" xfId="0" applyNumberFormat="1" applyFont="1" applyBorder="1" applyAlignment="1">
      <alignment horizontal="center" vertical="center" wrapText="1"/>
    </xf>
    <xf numFmtId="170" fontId="6" fillId="0" borderId="1" xfId="0" applyNumberFormat="1" applyFont="1" applyBorder="1" applyAlignment="1">
      <alignment horizontal="center" wrapText="1"/>
    </xf>
    <xf numFmtId="170" fontId="0" fillId="0" borderId="1" xfId="0" applyNumberFormat="1" applyBorder="1" applyAlignment="1">
      <alignment horizontal="center" wrapText="1"/>
    </xf>
    <xf numFmtId="170" fontId="6" fillId="0" borderId="10" xfId="0" applyNumberFormat="1" applyFont="1" applyBorder="1" applyAlignment="1">
      <alignment horizontal="center" wrapText="1"/>
    </xf>
    <xf numFmtId="2" fontId="6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164" fontId="6" fillId="0" borderId="10" xfId="0" applyNumberFormat="1" applyFont="1" applyBorder="1" applyAlignment="1">
      <alignment horizontal="center" vertical="center" wrapText="1"/>
    </xf>
    <xf numFmtId="2" fontId="6" fillId="0" borderId="10" xfId="0" applyNumberFormat="1" applyFont="1" applyBorder="1" applyAlignment="1">
      <alignment horizontal="center" vertical="center" wrapText="1"/>
    </xf>
    <xf numFmtId="164" fontId="17" fillId="10" borderId="2" xfId="0" applyNumberFormat="1" applyFont="1" applyFill="1" applyBorder="1" applyAlignment="1">
      <alignment horizontal="center" vertical="center" wrapText="1"/>
    </xf>
    <xf numFmtId="0" fontId="0" fillId="0" borderId="0" xfId="0" applyNumberFormat="1">
      <alignment horizontal="left" vertical="center" wrapText="1"/>
    </xf>
    <xf numFmtId="0" fontId="23" fillId="0" borderId="10" xfId="6" applyBorder="1">
      <alignment horizontal="left" vertical="center" wrapText="1"/>
    </xf>
    <xf numFmtId="15" fontId="16" fillId="4" borderId="1" xfId="0" applyNumberFormat="1" applyFont="1" applyFill="1" applyBorder="1" applyAlignment="1">
      <alignment wrapText="1"/>
    </xf>
    <xf numFmtId="15" fontId="16" fillId="4" borderId="1" xfId="0" applyNumberFormat="1" applyFont="1" applyFill="1" applyBorder="1">
      <alignment horizontal="left" vertical="center" wrapText="1"/>
    </xf>
    <xf numFmtId="165" fontId="16" fillId="2" borderId="1" xfId="0" applyNumberFormat="1" applyFont="1" applyFill="1" applyBorder="1" applyAlignment="1">
      <alignment horizontal="left" vertical="top" wrapText="1"/>
    </xf>
    <xf numFmtId="164" fontId="16" fillId="2" borderId="1" xfId="0" applyNumberFormat="1" applyFont="1" applyFill="1" applyBorder="1" applyAlignment="1">
      <alignment horizontal="left" vertical="top" wrapText="1"/>
    </xf>
    <xf numFmtId="164" fontId="16" fillId="4" borderId="1" xfId="0" applyNumberFormat="1" applyFont="1" applyFill="1" applyBorder="1" applyAlignment="1">
      <alignment horizontal="left" vertical="top" wrapText="1"/>
    </xf>
    <xf numFmtId="164" fontId="5" fillId="0" borderId="0" xfId="0" applyNumberFormat="1" applyFont="1" applyAlignment="1">
      <alignment horizontal="center" vertical="center"/>
    </xf>
    <xf numFmtId="3" fontId="14" fillId="0" borderId="0" xfId="0" applyFont="1">
      <alignment horizontal="left" vertical="center" wrapText="1"/>
    </xf>
    <xf numFmtId="14" fontId="10" fillId="0" borderId="0" xfId="0" applyNumberFormat="1" applyFont="1">
      <alignment horizontal="left" vertical="center" wrapText="1"/>
    </xf>
    <xf numFmtId="15" fontId="14" fillId="0" borderId="0" xfId="0" applyNumberFormat="1" applyFont="1">
      <alignment horizontal="left" vertical="center" wrapText="1"/>
    </xf>
    <xf numFmtId="164" fontId="10" fillId="0" borderId="0" xfId="0" applyNumberFormat="1" applyFont="1" applyAlignment="1">
      <alignment horizontal="center"/>
    </xf>
    <xf numFmtId="9" fontId="6" fillId="0" borderId="0" xfId="5" applyFont="1" applyAlignment="1">
      <alignment horizontal="center" vertical="center"/>
    </xf>
    <xf numFmtId="177" fontId="6" fillId="0" borderId="0" xfId="0" applyNumberFormat="1" applyFont="1" applyAlignment="1"/>
    <xf numFmtId="15" fontId="14" fillId="0" borderId="0" xfId="0" applyNumberFormat="1" applyFont="1" applyAlignment="1">
      <alignment horizontal="left"/>
    </xf>
    <xf numFmtId="2" fontId="10" fillId="0" borderId="0" xfId="0" applyNumberFormat="1" applyFont="1" applyAlignment="1">
      <alignment horizontal="left" vertical="center"/>
    </xf>
    <xf numFmtId="177" fontId="10" fillId="0" borderId="0" xfId="0" applyNumberFormat="1" applyFont="1" applyAlignment="1">
      <alignment horizontal="left" vertical="center"/>
    </xf>
    <xf numFmtId="3" fontId="24" fillId="0" borderId="0" xfId="0" applyFont="1">
      <alignment horizontal="left" vertical="center" wrapText="1"/>
    </xf>
    <xf numFmtId="3" fontId="17" fillId="0" borderId="0" xfId="0" applyFont="1">
      <alignment horizontal="left" vertical="center" wrapText="1"/>
    </xf>
    <xf numFmtId="3" fontId="13" fillId="0" borderId="0" xfId="0" applyFont="1">
      <alignment horizontal="left" vertical="center" wrapText="1"/>
    </xf>
    <xf numFmtId="170" fontId="6" fillId="0" borderId="1" xfId="0" applyNumberFormat="1" applyFont="1" applyBorder="1" applyAlignment="1">
      <alignment horizontal="center" vertical="center"/>
    </xf>
    <xf numFmtId="170" fontId="25" fillId="0" borderId="1" xfId="0" applyNumberFormat="1" applyFont="1" applyBorder="1" applyAlignment="1">
      <alignment horizontal="center"/>
    </xf>
    <xf numFmtId="170" fontId="25" fillId="0" borderId="1" xfId="0" applyNumberFormat="1" applyFont="1" applyBorder="1" applyAlignment="1">
      <alignment horizontal="center" vertical="center"/>
    </xf>
    <xf numFmtId="4" fontId="25" fillId="0" borderId="1" xfId="0" applyNumberFormat="1" applyFont="1" applyBorder="1" applyAlignment="1">
      <alignment horizontal="center"/>
    </xf>
    <xf numFmtId="4" fontId="25" fillId="0" borderId="1" xfId="0" applyNumberFormat="1" applyFont="1" applyBorder="1" applyAlignment="1">
      <alignment horizontal="center" vertical="center"/>
    </xf>
    <xf numFmtId="4" fontId="25" fillId="0" borderId="1" xfId="0" applyNumberFormat="1" applyFont="1" applyBorder="1">
      <alignment horizontal="left" vertical="center" wrapText="1"/>
    </xf>
    <xf numFmtId="2" fontId="25" fillId="0" borderId="1" xfId="0" applyNumberFormat="1" applyFont="1" applyBorder="1" applyAlignment="1">
      <alignment horizontal="center" vertical="center" wrapText="1"/>
    </xf>
    <xf numFmtId="3" fontId="34" fillId="7" borderId="1" xfId="0" applyFont="1" applyFill="1" applyBorder="1">
      <alignment horizontal="left" vertical="center" wrapText="1"/>
    </xf>
    <xf numFmtId="3" fontId="31" fillId="0" borderId="1" xfId="0" applyFont="1" applyBorder="1" applyAlignment="1">
      <alignment horizontal="left" vertical="center"/>
    </xf>
    <xf numFmtId="3" fontId="31" fillId="0" borderId="1" xfId="0" applyFont="1" applyBorder="1" applyAlignment="1">
      <alignment vertical="center"/>
    </xf>
    <xf numFmtId="3" fontId="31" fillId="0" borderId="1" xfId="0" applyFont="1" applyBorder="1" applyAlignment="1">
      <alignment horizontal="left"/>
    </xf>
    <xf numFmtId="0" fontId="0" fillId="0" borderId="1" xfId="6" applyFont="1">
      <alignment horizontal="left" vertical="center" wrapText="1"/>
    </xf>
    <xf numFmtId="3" fontId="10" fillId="0" borderId="0" xfId="0" applyFont="1" applyAlignment="1">
      <alignment wrapText="1"/>
    </xf>
    <xf numFmtId="3" fontId="5" fillId="0" borderId="0" xfId="0" applyFont="1" applyAlignment="1">
      <alignment wrapText="1"/>
    </xf>
    <xf numFmtId="3" fontId="13" fillId="0" borderId="0" xfId="0" applyFont="1" applyAlignment="1">
      <alignment wrapText="1"/>
    </xf>
    <xf numFmtId="3" fontId="13" fillId="0" borderId="0" xfId="0" applyFont="1" applyAlignment="1">
      <alignment vertical="top" wrapText="1"/>
    </xf>
    <xf numFmtId="1" fontId="14" fillId="2" borderId="1" xfId="0" applyNumberFormat="1" applyFont="1" applyFill="1" applyBorder="1" applyAlignment="1">
      <alignment horizontal="center" vertical="center"/>
    </xf>
    <xf numFmtId="3" fontId="14" fillId="2" borderId="1" xfId="0" applyFont="1" applyFill="1" applyBorder="1" applyAlignment="1">
      <alignment horizontal="center" vertical="center" wrapText="1"/>
    </xf>
    <xf numFmtId="3" fontId="14" fillId="2" borderId="1" xfId="0" applyFont="1" applyFill="1" applyBorder="1" applyAlignment="1">
      <alignment horizontal="center" vertical="center"/>
    </xf>
    <xf numFmtId="3" fontId="14" fillId="15" borderId="1" xfId="0" applyFont="1" applyFill="1" applyBorder="1" applyAlignment="1">
      <alignment vertical="center" wrapText="1"/>
    </xf>
    <xf numFmtId="3" fontId="41" fillId="16" borderId="1" xfId="0" applyFont="1" applyFill="1" applyBorder="1" applyAlignment="1">
      <alignment vertical="top" wrapText="1"/>
    </xf>
    <xf numFmtId="3" fontId="41" fillId="16" borderId="1" xfId="0" applyFont="1" applyFill="1" applyBorder="1" applyAlignment="1">
      <alignment horizontal="center" vertical="top" wrapText="1"/>
    </xf>
    <xf numFmtId="3" fontId="34" fillId="0" borderId="0" xfId="0" applyFont="1">
      <alignment horizontal="left" vertical="center" wrapText="1"/>
    </xf>
    <xf numFmtId="3" fontId="41" fillId="0" borderId="1" xfId="0" applyFont="1" applyBorder="1" applyAlignment="1">
      <alignment horizontal="center" vertical="top" wrapText="1"/>
    </xf>
    <xf numFmtId="3" fontId="42" fillId="0" borderId="1" xfId="0" applyFont="1" applyBorder="1" applyAlignment="1">
      <alignment vertical="top" wrapText="1"/>
    </xf>
    <xf numFmtId="3" fontId="34" fillId="0" borderId="1" xfId="0" applyFont="1" applyBorder="1" applyAlignment="1">
      <alignment horizontal="left"/>
    </xf>
    <xf numFmtId="3" fontId="34" fillId="0" borderId="1" xfId="0" applyFont="1" applyBorder="1" applyAlignment="1">
      <alignment horizontal="center"/>
    </xf>
    <xf numFmtId="3" fontId="44" fillId="17" borderId="16" xfId="0" applyFont="1" applyFill="1" applyBorder="1" applyAlignment="1">
      <alignment horizontal="left" vertical="top" wrapText="1"/>
    </xf>
    <xf numFmtId="3" fontId="44" fillId="17" borderId="16" xfId="0" applyFont="1" applyFill="1" applyBorder="1" applyAlignment="1">
      <alignment horizontal="center" vertical="top" wrapText="1"/>
    </xf>
    <xf numFmtId="3" fontId="44" fillId="17" borderId="1" xfId="0" applyFont="1" applyFill="1" applyBorder="1" applyAlignment="1">
      <alignment horizontal="left" vertical="top" wrapText="1"/>
    </xf>
    <xf numFmtId="3" fontId="44" fillId="17" borderId="1" xfId="0" applyFont="1" applyFill="1" applyBorder="1" applyAlignment="1">
      <alignment horizontal="center" vertical="top" wrapText="1"/>
    </xf>
    <xf numFmtId="3" fontId="41" fillId="16" borderId="1" xfId="0" applyFont="1" applyFill="1" applyBorder="1" applyAlignment="1">
      <alignment wrapText="1"/>
    </xf>
    <xf numFmtId="3" fontId="43" fillId="17" borderId="16" xfId="0" applyFont="1" applyFill="1" applyBorder="1" applyAlignment="1">
      <alignment horizontal="left" vertical="top" wrapText="1"/>
    </xf>
    <xf numFmtId="3" fontId="43" fillId="17" borderId="16" xfId="0" applyFont="1" applyFill="1" applyBorder="1" applyAlignment="1">
      <alignment horizontal="center" vertical="top" wrapText="1"/>
    </xf>
    <xf numFmtId="3" fontId="43" fillId="17" borderId="16" xfId="0" applyFont="1" applyFill="1" applyBorder="1" applyAlignment="1">
      <alignment horizontal="center" vertical="center" wrapText="1"/>
    </xf>
    <xf numFmtId="3" fontId="43" fillId="17" borderId="1" xfId="0" applyFont="1" applyFill="1" applyBorder="1" applyAlignment="1">
      <alignment horizontal="left" vertical="top" wrapText="1"/>
    </xf>
    <xf numFmtId="173" fontId="43" fillId="17" borderId="1" xfId="0" applyNumberFormat="1" applyFont="1" applyFill="1" applyBorder="1" applyAlignment="1">
      <alignment horizontal="center" vertical="top" wrapText="1"/>
    </xf>
    <xf numFmtId="3" fontId="43" fillId="17" borderId="1" xfId="0" applyFont="1" applyFill="1" applyBorder="1" applyAlignment="1">
      <alignment horizontal="center" vertical="top" wrapText="1"/>
    </xf>
    <xf numFmtId="3" fontId="42" fillId="0" borderId="1" xfId="0" applyFont="1" applyBorder="1" applyAlignment="1">
      <alignment wrapText="1"/>
    </xf>
    <xf numFmtId="3" fontId="43" fillId="17" borderId="18" xfId="0" applyFont="1" applyFill="1" applyBorder="1" applyAlignment="1">
      <alignment horizontal="center" vertical="top" wrapText="1"/>
    </xf>
    <xf numFmtId="3" fontId="43" fillId="17" borderId="18" xfId="0" applyFont="1" applyFill="1" applyBorder="1" applyAlignment="1">
      <alignment horizontal="left" vertical="top" wrapText="1"/>
    </xf>
    <xf numFmtId="3" fontId="43" fillId="17" borderId="17" xfId="0" applyFont="1" applyFill="1" applyBorder="1" applyAlignment="1">
      <alignment horizontal="left" vertical="top" wrapText="1"/>
    </xf>
    <xf numFmtId="172" fontId="43" fillId="17" borderId="1" xfId="0" applyNumberFormat="1" applyFont="1" applyFill="1" applyBorder="1" applyAlignment="1">
      <alignment horizontal="center" vertical="top" wrapText="1"/>
    </xf>
    <xf numFmtId="3" fontId="43" fillId="17" borderId="0" xfId="0" applyFont="1" applyFill="1" applyAlignment="1">
      <alignment horizontal="left" vertical="top"/>
    </xf>
    <xf numFmtId="0" fontId="34" fillId="0" borderId="1" xfId="0" applyNumberFormat="1" applyFont="1" applyBorder="1" applyAlignment="1"/>
    <xf numFmtId="1" fontId="42" fillId="0" borderId="1" xfId="0" applyNumberFormat="1" applyFont="1" applyBorder="1" applyAlignment="1">
      <alignment wrapText="1"/>
    </xf>
    <xf numFmtId="1" fontId="34" fillId="0" borderId="1" xfId="0" applyNumberFormat="1" applyFont="1" applyBorder="1">
      <alignment horizontal="left" vertical="center" wrapText="1"/>
    </xf>
    <xf numFmtId="0" fontId="34" fillId="7" borderId="1" xfId="0" applyNumberFormat="1" applyFont="1" applyFill="1" applyBorder="1" applyAlignment="1"/>
    <xf numFmtId="3" fontId="34" fillId="17" borderId="16" xfId="0" applyFont="1" applyFill="1" applyBorder="1" applyAlignment="1">
      <alignment horizontal="left" vertical="top" wrapText="1"/>
    </xf>
    <xf numFmtId="3" fontId="43" fillId="17" borderId="8" xfId="0" applyFont="1" applyFill="1" applyBorder="1" applyAlignment="1">
      <alignment horizontal="left" vertical="top" wrapText="1"/>
    </xf>
    <xf numFmtId="3" fontId="43" fillId="17" borderId="25" xfId="0" applyFont="1" applyFill="1" applyBorder="1" applyAlignment="1">
      <alignment horizontal="left" vertical="top" wrapText="1"/>
    </xf>
    <xf numFmtId="3" fontId="42" fillId="0" borderId="8" xfId="0" applyFont="1" applyBorder="1" applyAlignment="1">
      <alignment wrapText="1"/>
    </xf>
    <xf numFmtId="3" fontId="34" fillId="0" borderId="8" xfId="0" applyFont="1" applyBorder="1">
      <alignment horizontal="left" vertical="center" wrapText="1"/>
    </xf>
    <xf numFmtId="3" fontId="44" fillId="17" borderId="0" xfId="0" applyFont="1" applyFill="1" applyAlignment="1">
      <alignment horizontal="left" vertical="top"/>
    </xf>
    <xf numFmtId="3" fontId="34" fillId="0" borderId="0" xfId="0" applyFont="1" applyAlignment="1">
      <alignment vertical="top" wrapText="1"/>
    </xf>
    <xf numFmtId="171" fontId="43" fillId="17" borderId="16" xfId="0" applyNumberFormat="1" applyFont="1" applyFill="1" applyBorder="1">
      <alignment horizontal="left" vertical="center" wrapText="1"/>
    </xf>
    <xf numFmtId="3" fontId="43" fillId="17" borderId="16" xfId="0" applyFont="1" applyFill="1" applyBorder="1">
      <alignment horizontal="left" vertical="center" wrapText="1"/>
    </xf>
    <xf numFmtId="171" fontId="43" fillId="17" borderId="16" xfId="0" applyNumberFormat="1" applyFont="1" applyFill="1" applyBorder="1" applyAlignment="1">
      <alignment horizontal="left" vertical="top" wrapText="1"/>
    </xf>
    <xf numFmtId="0" fontId="31" fillId="0" borderId="0" xfId="0" applyNumberFormat="1" applyFont="1">
      <alignment horizontal="left" vertical="center" wrapText="1"/>
    </xf>
    <xf numFmtId="4" fontId="31" fillId="0" borderId="0" xfId="0" applyNumberFormat="1" applyFont="1">
      <alignment horizontal="left" vertical="center" wrapText="1"/>
    </xf>
    <xf numFmtId="2" fontId="31" fillId="0" borderId="1" xfId="0" applyNumberFormat="1" applyFont="1" applyBorder="1" applyAlignment="1">
      <alignment horizontal="center" vertical="center" wrapText="1"/>
    </xf>
    <xf numFmtId="3" fontId="23" fillId="0" borderId="1" xfId="1" applyNumberFormat="1" applyFont="1" applyBorder="1" applyAlignment="1">
      <alignment horizontal="center"/>
    </xf>
    <xf numFmtId="164" fontId="31" fillId="0" borderId="1" xfId="0" applyNumberFormat="1" applyFont="1" applyBorder="1" applyAlignment="1">
      <alignment horizontal="center" vertical="center"/>
    </xf>
    <xf numFmtId="3" fontId="25" fillId="0" borderId="7" xfId="0" applyFont="1" applyBorder="1">
      <alignment horizontal="left" vertical="center" wrapText="1"/>
    </xf>
    <xf numFmtId="3" fontId="0" fillId="0" borderId="7" xfId="0" applyBorder="1" applyAlignment="1">
      <alignment horizontal="center"/>
    </xf>
    <xf numFmtId="3" fontId="0" fillId="0" borderId="5" xfId="0" applyBorder="1" applyAlignment="1">
      <alignment horizontal="center"/>
    </xf>
    <xf numFmtId="3" fontId="25" fillId="0" borderId="7" xfId="0" applyFont="1" applyBorder="1" applyAlignment="1">
      <alignment horizontal="center" vertical="center" wrapText="1"/>
    </xf>
    <xf numFmtId="3" fontId="25" fillId="0" borderId="5" xfId="0" applyFont="1" applyBorder="1" applyAlignment="1">
      <alignment horizontal="center" vertical="center" wrapText="1"/>
    </xf>
    <xf numFmtId="3" fontId="5" fillId="7" borderId="7" xfId="0" applyFont="1" applyFill="1" applyBorder="1">
      <alignment horizontal="left" vertical="center" wrapText="1"/>
    </xf>
    <xf numFmtId="14" fontId="0" fillId="0" borderId="1" xfId="0" applyNumberFormat="1" applyBorder="1">
      <alignment horizontal="left" vertical="center" wrapText="1"/>
    </xf>
    <xf numFmtId="3" fontId="0" fillId="0" borderId="2" xfId="0" applyBorder="1">
      <alignment horizontal="left" vertical="center" wrapText="1"/>
    </xf>
    <xf numFmtId="3" fontId="0" fillId="0" borderId="1" xfId="0" applyBorder="1" applyAlignment="1">
      <alignment horizontal="center"/>
    </xf>
    <xf numFmtId="3" fontId="25" fillId="0" borderId="5" xfId="0" applyFont="1" applyBorder="1" applyAlignment="1">
      <alignment vertical="center" wrapText="1"/>
    </xf>
    <xf numFmtId="3" fontId="25" fillId="0" borderId="1" xfId="0" applyFont="1" applyBorder="1" applyAlignment="1">
      <alignment vertical="center" wrapText="1"/>
    </xf>
    <xf numFmtId="170" fontId="0" fillId="0" borderId="0" xfId="0" applyNumberFormat="1">
      <alignment horizontal="left" vertical="center" wrapText="1"/>
    </xf>
    <xf numFmtId="2" fontId="0" fillId="0" borderId="1" xfId="0" applyNumberFormat="1" applyBorder="1" applyAlignment="1">
      <alignment horizontal="center" vertical="center" wrapText="1"/>
    </xf>
    <xf numFmtId="3" fontId="0" fillId="0" borderId="1" xfId="0" applyBorder="1" applyAlignment="1">
      <alignment horizontal="center" vertical="center" wrapText="1"/>
    </xf>
    <xf numFmtId="3" fontId="0" fillId="7" borderId="1" xfId="0" applyFill="1" applyBorder="1" applyAlignment="1">
      <alignment horizontal="center" vertical="center" wrapText="1"/>
    </xf>
    <xf numFmtId="3" fontId="34" fillId="7" borderId="1" xfId="0" applyFont="1" applyFill="1" applyBorder="1" applyAlignment="1">
      <alignment horizontal="center" vertical="center" wrapText="1"/>
    </xf>
    <xf numFmtId="0" fontId="6" fillId="0" borderId="0" xfId="0" applyNumberFormat="1" applyFont="1" applyAlignment="1"/>
    <xf numFmtId="3" fontId="0" fillId="0" borderId="0" xfId="0" applyAlignment="1">
      <alignment vertical="top" wrapText="1"/>
    </xf>
    <xf numFmtId="14" fontId="47" fillId="7" borderId="5" xfId="0" applyNumberFormat="1" applyFont="1" applyFill="1" applyBorder="1" applyAlignment="1">
      <alignment vertical="center" wrapText="1"/>
    </xf>
    <xf numFmtId="14" fontId="47" fillId="7" borderId="1" xfId="0" applyNumberFormat="1" applyFont="1" applyFill="1" applyBorder="1">
      <alignment horizontal="left" vertical="center" wrapText="1"/>
    </xf>
    <xf numFmtId="3" fontId="47" fillId="7" borderId="1" xfId="0" applyFont="1" applyFill="1" applyBorder="1" applyAlignment="1">
      <alignment vertical="center" wrapText="1"/>
    </xf>
    <xf numFmtId="3" fontId="48" fillId="0" borderId="1" xfId="0" applyFont="1" applyBorder="1" applyAlignment="1">
      <alignment vertical="top" wrapText="1"/>
    </xf>
    <xf numFmtId="20" fontId="48" fillId="0" borderId="1" xfId="0" applyNumberFormat="1" applyFont="1" applyBorder="1">
      <alignment horizontal="left" vertical="center" wrapText="1"/>
    </xf>
    <xf numFmtId="170" fontId="48" fillId="0" borderId="2" xfId="0" applyNumberFormat="1" applyFont="1" applyBorder="1">
      <alignment horizontal="left" vertical="center" wrapText="1"/>
    </xf>
    <xf numFmtId="3" fontId="48" fillId="0" borderId="7" xfId="0" applyFont="1" applyBorder="1" applyAlignment="1">
      <alignment vertical="top" wrapText="1"/>
    </xf>
    <xf numFmtId="4" fontId="48" fillId="0" borderId="1" xfId="0" applyNumberFormat="1" applyFont="1" applyBorder="1">
      <alignment horizontal="left" vertical="center" wrapText="1"/>
    </xf>
    <xf numFmtId="180" fontId="48" fillId="0" borderId="1" xfId="0" applyNumberFormat="1" applyFont="1" applyBorder="1">
      <alignment horizontal="left" vertical="center" wrapText="1"/>
    </xf>
    <xf numFmtId="3" fontId="48" fillId="7" borderId="1" xfId="0" applyFont="1" applyFill="1" applyBorder="1">
      <alignment horizontal="left" vertical="center" wrapText="1"/>
    </xf>
    <xf numFmtId="3" fontId="48" fillId="7" borderId="1" xfId="0" applyFont="1" applyFill="1" applyBorder="1" applyAlignment="1">
      <alignment vertical="top" wrapText="1"/>
    </xf>
    <xf numFmtId="3" fontId="48" fillId="0" borderId="1" xfId="0" applyFont="1" applyBorder="1">
      <alignment horizontal="left" vertical="center" wrapText="1"/>
    </xf>
    <xf numFmtId="3" fontId="34" fillId="7" borderId="7" xfId="0" applyFont="1" applyFill="1" applyBorder="1" applyAlignment="1">
      <alignment vertical="top" wrapText="1"/>
    </xf>
    <xf numFmtId="14" fontId="37" fillId="7" borderId="1" xfId="6" applyNumberFormat="1" applyFont="1" applyFill="1">
      <alignment horizontal="left" vertical="center" wrapText="1"/>
    </xf>
    <xf numFmtId="14" fontId="49" fillId="7" borderId="1" xfId="6" applyNumberFormat="1" applyFont="1" applyFill="1">
      <alignment horizontal="left" vertical="center" wrapText="1"/>
    </xf>
    <xf numFmtId="3" fontId="50" fillId="0" borderId="16" xfId="0" applyFont="1" applyBorder="1" applyAlignment="1">
      <alignment horizontal="left" vertical="top" wrapText="1"/>
    </xf>
    <xf numFmtId="3" fontId="51" fillId="0" borderId="16" xfId="0" applyFont="1" applyBorder="1" applyAlignment="1">
      <alignment horizontal="left" vertical="top" wrapText="1"/>
    </xf>
    <xf numFmtId="3" fontId="51" fillId="0" borderId="16" xfId="0" applyFont="1" applyBorder="1" applyAlignment="1">
      <alignment horizontal="center" vertical="top" wrapText="1"/>
    </xf>
    <xf numFmtId="0" fontId="5" fillId="7" borderId="1" xfId="0" applyNumberFormat="1" applyFont="1" applyFill="1" applyBorder="1" applyAlignment="1">
      <alignment horizontal="left"/>
    </xf>
    <xf numFmtId="170" fontId="34" fillId="0" borderId="1" xfId="0" applyNumberFormat="1" applyFont="1" applyBorder="1" applyAlignment="1">
      <alignment horizontal="center" vertical="center" wrapText="1"/>
    </xf>
    <xf numFmtId="4" fontId="34" fillId="0" borderId="1" xfId="0" applyNumberFormat="1" applyFont="1" applyBorder="1" applyAlignment="1">
      <alignment horizontal="center" vertical="center" wrapText="1"/>
    </xf>
    <xf numFmtId="178" fontId="34" fillId="0" borderId="1" xfId="0" applyNumberFormat="1" applyFont="1" applyBorder="1" applyAlignment="1">
      <alignment horizontal="center" vertical="center" wrapText="1"/>
    </xf>
    <xf numFmtId="170" fontId="0" fillId="7" borderId="1" xfId="0" applyNumberFormat="1" applyFill="1" applyBorder="1" applyAlignment="1">
      <alignment horizontal="center" vertical="center" wrapText="1"/>
    </xf>
    <xf numFmtId="4" fontId="0" fillId="7" borderId="1" xfId="0" applyNumberFormat="1" applyFill="1" applyBorder="1" applyAlignment="1">
      <alignment horizontal="center" vertical="center" wrapText="1"/>
    </xf>
    <xf numFmtId="178" fontId="0" fillId="7" borderId="1" xfId="0" applyNumberFormat="1" applyFill="1" applyBorder="1" applyAlignment="1">
      <alignment horizontal="center" vertical="center" wrapText="1"/>
    </xf>
    <xf numFmtId="170" fontId="51" fillId="0" borderId="16" xfId="0" applyNumberFormat="1" applyFont="1" applyBorder="1" applyAlignment="1">
      <alignment horizontal="center" vertical="top" wrapText="1"/>
    </xf>
    <xf numFmtId="4" fontId="51" fillId="0" borderId="16" xfId="0" applyNumberFormat="1" applyFont="1" applyBorder="1" applyAlignment="1">
      <alignment horizontal="center" vertical="top" wrapText="1"/>
    </xf>
    <xf numFmtId="180" fontId="51" fillId="0" borderId="16" xfId="0" applyNumberFormat="1" applyFont="1" applyBorder="1" applyAlignment="1">
      <alignment horizontal="center" vertical="top" wrapText="1"/>
    </xf>
    <xf numFmtId="14" fontId="52" fillId="7" borderId="1" xfId="6" applyNumberFormat="1" applyFont="1" applyFill="1" applyAlignment="1">
      <alignment vertical="center" wrapText="1"/>
    </xf>
    <xf numFmtId="14" fontId="52" fillId="7" borderId="1" xfId="0" applyNumberFormat="1" applyFont="1" applyFill="1" applyBorder="1" applyAlignment="1">
      <alignment vertical="center" wrapText="1"/>
    </xf>
    <xf numFmtId="177" fontId="34" fillId="0" borderId="1" xfId="0" applyNumberFormat="1" applyFont="1" applyBorder="1" applyAlignment="1"/>
    <xf numFmtId="2" fontId="34" fillId="0" borderId="1" xfId="0" applyNumberFormat="1" applyFont="1" applyBorder="1" applyAlignment="1"/>
    <xf numFmtId="0" fontId="34" fillId="0" borderId="1" xfId="0" applyNumberFormat="1" applyFont="1" applyBorder="1" applyAlignment="1">
      <alignment horizontal="center"/>
    </xf>
    <xf numFmtId="3" fontId="34" fillId="0" borderId="1" xfId="0" applyFont="1" applyBorder="1" applyAlignment="1">
      <alignment vertical="center"/>
    </xf>
    <xf numFmtId="2" fontId="34" fillId="0" borderId="1" xfId="0" applyNumberFormat="1" applyFont="1" applyBorder="1" applyAlignment="1">
      <alignment vertical="center"/>
    </xf>
    <xf numFmtId="1" fontId="34" fillId="0" borderId="1" xfId="0" applyNumberFormat="1" applyFont="1" applyBorder="1" applyAlignment="1"/>
    <xf numFmtId="1" fontId="34" fillId="0" borderId="1" xfId="0" applyNumberFormat="1" applyFont="1" applyBorder="1" applyAlignment="1">
      <alignment vertical="center"/>
    </xf>
    <xf numFmtId="3" fontId="34" fillId="0" borderId="1" xfId="0" applyFont="1" applyBorder="1" applyAlignment="1">
      <alignment horizontal="center" vertical="center" wrapText="1"/>
    </xf>
    <xf numFmtId="3" fontId="54" fillId="7" borderId="8" xfId="0" applyFont="1" applyFill="1" applyBorder="1" applyAlignment="1">
      <alignment horizontal="left" vertical="center"/>
    </xf>
    <xf numFmtId="3" fontId="54" fillId="7" borderId="2" xfId="0" applyFont="1" applyFill="1" applyBorder="1" applyAlignment="1">
      <alignment horizontal="left" vertical="center"/>
    </xf>
    <xf numFmtId="3" fontId="54" fillId="7" borderId="1" xfId="0" applyFont="1" applyFill="1" applyBorder="1" applyAlignment="1">
      <alignment horizontal="center"/>
    </xf>
    <xf numFmtId="3" fontId="47" fillId="14" borderId="1" xfId="0" applyFont="1" applyFill="1" applyBorder="1" applyAlignment="1">
      <alignment horizontal="left"/>
    </xf>
    <xf numFmtId="3" fontId="47" fillId="0" borderId="1" xfId="0" applyFont="1" applyBorder="1" applyAlignment="1">
      <alignment horizontal="left"/>
    </xf>
    <xf numFmtId="3" fontId="54" fillId="0" borderId="1" xfId="0" applyFont="1" applyBorder="1" applyAlignment="1">
      <alignment horizontal="center"/>
    </xf>
    <xf numFmtId="3" fontId="47" fillId="0" borderId="1" xfId="0" applyFont="1" applyBorder="1" applyAlignment="1">
      <alignment horizontal="left" vertical="center"/>
    </xf>
    <xf numFmtId="3" fontId="47" fillId="0" borderId="1" xfId="0" applyFont="1" applyBorder="1" applyAlignment="1">
      <alignment horizontal="center"/>
    </xf>
    <xf numFmtId="3" fontId="47" fillId="14" borderId="1" xfId="0" applyFont="1" applyFill="1" applyBorder="1" applyAlignment="1">
      <alignment horizontal="left" vertical="center"/>
    </xf>
    <xf numFmtId="3" fontId="47" fillId="0" borderId="1" xfId="0" applyFont="1" applyBorder="1">
      <alignment horizontal="left" vertical="center" wrapText="1"/>
    </xf>
    <xf numFmtId="177" fontId="47" fillId="14" borderId="1" xfId="0" applyNumberFormat="1" applyFont="1" applyFill="1" applyBorder="1" applyAlignment="1"/>
    <xf numFmtId="3" fontId="42" fillId="0" borderId="1" xfId="0" applyFont="1" applyBorder="1" applyAlignment="1">
      <alignment horizontal="left" vertical="top" wrapText="1"/>
    </xf>
    <xf numFmtId="3" fontId="42" fillId="0" borderId="1" xfId="0" applyFont="1" applyBorder="1" applyAlignment="1">
      <alignment horizontal="center" vertical="top" wrapText="1"/>
    </xf>
    <xf numFmtId="3" fontId="47" fillId="0" borderId="10" xfId="0" applyFont="1" applyBorder="1" applyAlignment="1">
      <alignment horizontal="left" vertical="center"/>
    </xf>
    <xf numFmtId="3" fontId="47" fillId="0" borderId="10" xfId="0" applyFont="1" applyBorder="1" applyAlignment="1">
      <alignment horizontal="center"/>
    </xf>
    <xf numFmtId="3" fontId="47" fillId="0" borderId="1" xfId="0" applyFont="1" applyBorder="1" applyAlignment="1">
      <alignment horizontal="center" vertical="center" wrapText="1"/>
    </xf>
    <xf numFmtId="3" fontId="55" fillId="20" borderId="29" xfId="0" applyFont="1" applyFill="1" applyBorder="1" applyAlignment="1">
      <alignment horizontal="left" vertical="top" wrapText="1"/>
    </xf>
    <xf numFmtId="3" fontId="55" fillId="20" borderId="30" xfId="0" applyFont="1" applyFill="1" applyBorder="1" applyAlignment="1">
      <alignment horizontal="left" vertical="top" wrapText="1"/>
    </xf>
    <xf numFmtId="3" fontId="56" fillId="0" borderId="29" xfId="0" applyFont="1" applyBorder="1" applyAlignment="1">
      <alignment horizontal="left" vertical="top" wrapText="1"/>
    </xf>
    <xf numFmtId="3" fontId="56" fillId="0" borderId="30" xfId="0" applyFont="1" applyBorder="1" applyAlignment="1">
      <alignment horizontal="left" vertical="top" wrapText="1"/>
    </xf>
    <xf numFmtId="3" fontId="57" fillId="0" borderId="30" xfId="0" applyFont="1" applyBorder="1" applyAlignment="1">
      <alignment horizontal="left"/>
    </xf>
    <xf numFmtId="3" fontId="23" fillId="0" borderId="30" xfId="0" applyFont="1" applyBorder="1">
      <alignment horizontal="left" vertical="center" wrapText="1"/>
    </xf>
    <xf numFmtId="3" fontId="56" fillId="0" borderId="31" xfId="0" applyFont="1" applyBorder="1" applyAlignment="1">
      <alignment horizontal="left" vertical="center"/>
    </xf>
    <xf numFmtId="3" fontId="56" fillId="0" borderId="32" xfId="0" applyFont="1" applyBorder="1" applyAlignment="1">
      <alignment horizontal="left" vertical="center"/>
    </xf>
    <xf numFmtId="3" fontId="56" fillId="0" borderId="29" xfId="0" applyFont="1" applyBorder="1" applyAlignment="1">
      <alignment horizontal="left" vertical="center"/>
    </xf>
    <xf numFmtId="3" fontId="55" fillId="13" borderId="29" xfId="0" applyFont="1" applyFill="1" applyBorder="1" applyAlignment="1">
      <alignment horizontal="left" vertical="top" wrapText="1"/>
    </xf>
    <xf numFmtId="3" fontId="55" fillId="13" borderId="30" xfId="0" applyFont="1" applyFill="1" applyBorder="1" applyAlignment="1">
      <alignment horizontal="left" vertical="top" wrapText="1"/>
    </xf>
    <xf numFmtId="3" fontId="56" fillId="0" borderId="30" xfId="0" applyFont="1" applyBorder="1" applyAlignment="1">
      <alignment horizontal="left" vertical="center"/>
    </xf>
    <xf numFmtId="3" fontId="56" fillId="0" borderId="29" xfId="0" applyFont="1" applyBorder="1">
      <alignment horizontal="left" vertical="center" wrapText="1"/>
    </xf>
    <xf numFmtId="3" fontId="56" fillId="0" borderId="30" xfId="0" applyFont="1" applyBorder="1">
      <alignment horizontal="left" vertical="center" wrapText="1"/>
    </xf>
    <xf numFmtId="3" fontId="56" fillId="0" borderId="29" xfId="0" applyFont="1" applyBorder="1" applyAlignment="1">
      <alignment horizontal="left" vertical="top"/>
    </xf>
    <xf numFmtId="3" fontId="25" fillId="0" borderId="0" xfId="0" applyFont="1" applyAlignment="1">
      <alignment horizontal="left" vertical="top" wrapText="1"/>
    </xf>
    <xf numFmtId="3" fontId="42" fillId="0" borderId="10" xfId="0" applyFont="1" applyBorder="1" applyAlignment="1">
      <alignment horizontal="left" vertical="top" wrapText="1"/>
    </xf>
    <xf numFmtId="3" fontId="42" fillId="0" borderId="10" xfId="0" applyFont="1" applyBorder="1" applyAlignment="1">
      <alignment horizontal="center" vertical="top" wrapText="1"/>
    </xf>
    <xf numFmtId="3" fontId="5" fillId="0" borderId="0" xfId="0" applyFont="1" applyAlignment="1"/>
    <xf numFmtId="3" fontId="0" fillId="0" borderId="0" xfId="0" applyAlignment="1"/>
    <xf numFmtId="1" fontId="31" fillId="0" borderId="1" xfId="0" applyNumberFormat="1" applyFont="1" applyBorder="1" applyAlignment="1">
      <alignment horizontal="center" vertical="center"/>
    </xf>
    <xf numFmtId="1" fontId="31" fillId="7" borderId="1" xfId="0" applyNumberFormat="1" applyFont="1" applyFill="1" applyBorder="1" applyAlignment="1">
      <alignment horizontal="center" vertical="center" wrapText="1"/>
    </xf>
    <xf numFmtId="3" fontId="31" fillId="0" borderId="1" xfId="0" applyFont="1" applyBorder="1" applyAlignment="1">
      <alignment horizontal="center" vertical="center" wrapText="1"/>
    </xf>
    <xf numFmtId="164" fontId="25" fillId="0" borderId="1" xfId="0" applyNumberFormat="1" applyFont="1" applyBorder="1" applyAlignment="1">
      <alignment horizontal="center"/>
    </xf>
    <xf numFmtId="164" fontId="25" fillId="0" borderId="0" xfId="0" applyNumberFormat="1" applyFont="1">
      <alignment horizontal="left" vertical="center" wrapText="1"/>
    </xf>
    <xf numFmtId="3" fontId="39" fillId="0" borderId="1" xfId="0" applyFont="1" applyBorder="1">
      <alignment horizontal="left" vertical="center" wrapText="1"/>
    </xf>
    <xf numFmtId="4" fontId="25" fillId="0" borderId="1" xfId="0" applyNumberFormat="1" applyFont="1" applyBorder="1" applyAlignment="1">
      <alignment horizontal="center" vertical="center" wrapText="1"/>
    </xf>
    <xf numFmtId="0" fontId="5" fillId="0" borderId="1" xfId="9" applyBorder="1" applyAlignment="1">
      <alignment horizontal="center" vertical="center"/>
    </xf>
    <xf numFmtId="170" fontId="14" fillId="0" borderId="0" xfId="0" applyNumberFormat="1" applyFont="1" applyAlignment="1">
      <alignment horizontal="center"/>
    </xf>
    <xf numFmtId="170" fontId="14" fillId="0" borderId="0" xfId="0" applyNumberFormat="1" applyFont="1" applyAlignment="1">
      <alignment horizontal="left" wrapText="1"/>
    </xf>
    <xf numFmtId="3" fontId="14" fillId="7" borderId="1" xfId="0" applyFont="1" applyFill="1" applyBorder="1" applyAlignment="1">
      <alignment horizontal="center" vertical="center" wrapText="1"/>
    </xf>
    <xf numFmtId="3" fontId="14" fillId="7" borderId="1" xfId="0" applyFont="1" applyFill="1" applyBorder="1" applyAlignment="1">
      <alignment horizontal="center" vertical="center"/>
    </xf>
    <xf numFmtId="0" fontId="37" fillId="7" borderId="1" xfId="0" applyNumberFormat="1" applyFont="1" applyFill="1" applyBorder="1">
      <alignment horizontal="left" vertical="center" wrapText="1"/>
    </xf>
    <xf numFmtId="3" fontId="37" fillId="7" borderId="1" xfId="0" applyFont="1" applyFill="1" applyBorder="1">
      <alignment horizontal="left" vertical="center" wrapText="1"/>
    </xf>
    <xf numFmtId="3" fontId="10" fillId="0" borderId="1" xfId="0" applyFont="1" applyBorder="1">
      <alignment horizontal="left" vertical="center" wrapText="1"/>
    </xf>
    <xf numFmtId="1" fontId="5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 wrapText="1"/>
    </xf>
    <xf numFmtId="4" fontId="23" fillId="0" borderId="1" xfId="0" applyNumberFormat="1" applyFont="1" applyBorder="1" applyAlignment="1">
      <alignment horizontal="center"/>
    </xf>
    <xf numFmtId="164" fontId="31" fillId="0" borderId="1" xfId="0" applyNumberFormat="1" applyFont="1" applyBorder="1" applyAlignment="1">
      <alignment horizontal="center" vertical="center" wrapText="1"/>
    </xf>
    <xf numFmtId="164" fontId="31" fillId="0" borderId="0" xfId="0" applyNumberFormat="1" applyFont="1">
      <alignment horizontal="left" vertical="center" wrapText="1"/>
    </xf>
    <xf numFmtId="3" fontId="31" fillId="7" borderId="0" xfId="0" applyFont="1" applyFill="1" applyAlignment="1">
      <alignment horizontal="center" vertical="center" wrapText="1"/>
    </xf>
    <xf numFmtId="0" fontId="31" fillId="7" borderId="1" xfId="0" applyNumberFormat="1" applyFont="1" applyFill="1" applyBorder="1" applyAlignment="1">
      <alignment horizontal="center" vertical="center" wrapText="1"/>
    </xf>
    <xf numFmtId="2" fontId="33" fillId="7" borderId="1" xfId="0" applyNumberFormat="1" applyFont="1" applyFill="1" applyBorder="1" applyAlignment="1">
      <alignment horizontal="center" vertical="center" wrapText="1"/>
    </xf>
    <xf numFmtId="164" fontId="31" fillId="7" borderId="1" xfId="0" applyNumberFormat="1" applyFont="1" applyFill="1" applyBorder="1" applyAlignment="1">
      <alignment horizontal="center" vertical="center" wrapText="1"/>
    </xf>
    <xf numFmtId="3" fontId="31" fillId="7" borderId="10" xfId="0" applyFont="1" applyFill="1" applyBorder="1" applyAlignment="1">
      <alignment horizontal="center" vertical="center" wrapText="1"/>
    </xf>
    <xf numFmtId="9" fontId="31" fillId="0" borderId="1" xfId="5" applyFont="1" applyBorder="1" applyAlignment="1">
      <alignment horizontal="center" vertical="center"/>
    </xf>
    <xf numFmtId="2" fontId="31" fillId="0" borderId="7" xfId="0" applyNumberFormat="1" applyFont="1" applyBorder="1" applyAlignment="1">
      <alignment horizontal="center" vertical="center"/>
    </xf>
    <xf numFmtId="3" fontId="39" fillId="0" borderId="0" xfId="0" applyFont="1">
      <alignment horizontal="left" vertical="center" wrapText="1"/>
    </xf>
    <xf numFmtId="170" fontId="0" fillId="0" borderId="0" xfId="0" applyNumberFormat="1" applyAlignment="1">
      <alignment horizontal="center" vertical="center" wrapText="1"/>
    </xf>
    <xf numFmtId="170" fontId="6" fillId="0" borderId="0" xfId="0" applyNumberFormat="1" applyFont="1">
      <alignment horizontal="left" vertical="center" wrapText="1"/>
    </xf>
    <xf numFmtId="1" fontId="0" fillId="0" borderId="0" xfId="0" applyNumberFormat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 wrapText="1"/>
    </xf>
    <xf numFmtId="1" fontId="17" fillId="0" borderId="0" xfId="0" applyNumberFormat="1" applyFont="1" applyAlignment="1">
      <alignment horizontal="center" vertical="center" wrapText="1"/>
    </xf>
    <xf numFmtId="3" fontId="0" fillId="0" borderId="0" xfId="0" applyAlignment="1">
      <alignment horizontal="center" vertical="center" wrapText="1"/>
    </xf>
    <xf numFmtId="2" fontId="6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2" fontId="17" fillId="0" borderId="0" xfId="0" applyNumberFormat="1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 wrapText="1"/>
    </xf>
    <xf numFmtId="9" fontId="0" fillId="0" borderId="0" xfId="5" applyFont="1" applyAlignment="1">
      <alignment horizontal="left" vertical="center" wrapText="1"/>
    </xf>
    <xf numFmtId="3" fontId="59" fillId="0" borderId="30" xfId="0" applyFont="1" applyBorder="1">
      <alignment horizontal="left" vertical="center" wrapText="1"/>
    </xf>
    <xf numFmtId="170" fontId="59" fillId="0" borderId="29" xfId="0" applyNumberFormat="1" applyFont="1" applyBorder="1">
      <alignment horizontal="left" vertical="center" wrapText="1"/>
    </xf>
    <xf numFmtId="9" fontId="0" fillId="0" borderId="1" xfId="5" applyFont="1" applyBorder="1" applyAlignment="1">
      <alignment horizontal="left" vertical="center" wrapText="1"/>
    </xf>
    <xf numFmtId="3" fontId="16" fillId="7" borderId="1" xfId="0" applyFont="1" applyFill="1" applyBorder="1">
      <alignment horizontal="left" vertical="center" wrapText="1"/>
    </xf>
    <xf numFmtId="3" fontId="25" fillId="0" borderId="1" xfId="0" applyFont="1" applyBorder="1" applyAlignment="1">
      <alignment vertical="top" wrapText="1"/>
    </xf>
    <xf numFmtId="164" fontId="25" fillId="0" borderId="1" xfId="0" applyNumberFormat="1" applyFont="1" applyBorder="1" applyAlignment="1">
      <alignment horizontal="center" vertical="center"/>
    </xf>
    <xf numFmtId="0" fontId="6" fillId="0" borderId="0" xfId="42" applyFont="1"/>
    <xf numFmtId="165" fontId="6" fillId="0" borderId="0" xfId="42" applyNumberFormat="1" applyFont="1"/>
    <xf numFmtId="14" fontId="6" fillId="0" borderId="0" xfId="42" applyNumberFormat="1" applyFont="1"/>
    <xf numFmtId="49" fontId="6" fillId="0" borderId="0" xfId="42" applyNumberFormat="1" applyFont="1"/>
    <xf numFmtId="0" fontId="5" fillId="0" borderId="0" xfId="42" applyFont="1"/>
    <xf numFmtId="14" fontId="5" fillId="0" borderId="0" xfId="42" applyNumberFormat="1" applyFont="1"/>
    <xf numFmtId="1" fontId="5" fillId="0" borderId="0" xfId="42" applyNumberFormat="1" applyFont="1"/>
    <xf numFmtId="14" fontId="5" fillId="0" borderId="0" xfId="42" applyNumberFormat="1" applyFont="1" applyAlignment="1">
      <alignment horizontal="right"/>
    </xf>
    <xf numFmtId="0" fontId="5" fillId="0" borderId="0" xfId="42" applyFont="1" applyAlignment="1">
      <alignment horizontal="left"/>
    </xf>
    <xf numFmtId="175" fontId="5" fillId="0" borderId="0" xfId="42" applyNumberFormat="1" applyFont="1" applyAlignment="1">
      <alignment horizontal="left"/>
    </xf>
    <xf numFmtId="0" fontId="5" fillId="0" borderId="0" xfId="42" applyFont="1" applyAlignment="1">
      <alignment horizontal="right"/>
    </xf>
    <xf numFmtId="3" fontId="25" fillId="0" borderId="4" xfId="0" applyFont="1" applyBorder="1" applyAlignment="1">
      <alignment vertical="top"/>
    </xf>
    <xf numFmtId="3" fontId="25" fillId="0" borderId="6" xfId="0" applyFont="1" applyBorder="1" applyAlignment="1">
      <alignment vertical="top"/>
    </xf>
    <xf numFmtId="0" fontId="34" fillId="0" borderId="1" xfId="0" applyNumberFormat="1" applyFont="1" applyBorder="1" applyAlignment="1">
      <alignment horizontal="left"/>
    </xf>
    <xf numFmtId="177" fontId="34" fillId="0" borderId="1" xfId="0" applyNumberFormat="1" applyFont="1" applyBorder="1" applyAlignment="1">
      <alignment horizontal="left"/>
    </xf>
    <xf numFmtId="3" fontId="34" fillId="0" borderId="1" xfId="0" applyFont="1" applyBorder="1" applyAlignment="1">
      <alignment horizontal="left" vertical="center"/>
    </xf>
    <xf numFmtId="0" fontId="5" fillId="0" borderId="1" xfId="42" applyFont="1" applyBorder="1"/>
    <xf numFmtId="3" fontId="24" fillId="7" borderId="1" xfId="0" applyFont="1" applyFill="1" applyBorder="1">
      <alignment horizontal="left" vertical="center" wrapText="1"/>
    </xf>
    <xf numFmtId="0" fontId="4" fillId="0" borderId="0" xfId="43"/>
    <xf numFmtId="0" fontId="71" fillId="0" borderId="0" xfId="43" applyFont="1" applyAlignment="1">
      <alignment horizontal="center"/>
    </xf>
    <xf numFmtId="14" fontId="4" fillId="0" borderId="0" xfId="43" applyNumberFormat="1" applyAlignment="1">
      <alignment horizontal="center"/>
    </xf>
    <xf numFmtId="0" fontId="4" fillId="0" borderId="0" xfId="43" applyAlignment="1">
      <alignment horizontal="center"/>
    </xf>
    <xf numFmtId="0" fontId="71" fillId="0" borderId="0" xfId="43" applyFont="1"/>
    <xf numFmtId="0" fontId="5" fillId="0" borderId="0" xfId="9"/>
    <xf numFmtId="14" fontId="5" fillId="0" borderId="0" xfId="9" applyNumberFormat="1" applyAlignment="1">
      <alignment horizontal="right"/>
    </xf>
    <xf numFmtId="0" fontId="5" fillId="0" borderId="0" xfId="9" applyAlignment="1">
      <alignment horizontal="left"/>
    </xf>
    <xf numFmtId="0" fontId="16" fillId="0" borderId="0" xfId="9" applyFont="1"/>
    <xf numFmtId="14" fontId="16" fillId="0" borderId="0" xfId="9" applyNumberFormat="1" applyFont="1"/>
    <xf numFmtId="49" fontId="16" fillId="0" borderId="0" xfId="9" applyNumberFormat="1" applyFont="1"/>
    <xf numFmtId="165" fontId="16" fillId="0" borderId="0" xfId="9" applyNumberFormat="1" applyFont="1"/>
    <xf numFmtId="3" fontId="76" fillId="7" borderId="1" xfId="0" applyFont="1" applyFill="1" applyBorder="1" applyAlignment="1">
      <alignment horizontal="left" vertical="center"/>
    </xf>
    <xf numFmtId="3" fontId="23" fillId="0" borderId="0" xfId="0" applyFont="1" applyAlignment="1">
      <alignment vertical="top" wrapText="1"/>
    </xf>
    <xf numFmtId="3" fontId="22" fillId="0" borderId="0" xfId="0" applyFont="1" applyAlignment="1">
      <alignment vertical="center"/>
    </xf>
    <xf numFmtId="3" fontId="24" fillId="0" borderId="0" xfId="0" applyFont="1" applyAlignment="1">
      <alignment vertical="top" wrapText="1"/>
    </xf>
    <xf numFmtId="1" fontId="24" fillId="0" borderId="0" xfId="1" applyNumberFormat="1" applyFont="1" applyAlignment="1">
      <alignment horizontal="center"/>
    </xf>
    <xf numFmtId="3" fontId="22" fillId="0" borderId="0" xfId="0" applyFont="1" applyAlignment="1">
      <alignment horizontal="center"/>
    </xf>
    <xf numFmtId="3" fontId="22" fillId="7" borderId="1" xfId="0" applyFont="1" applyFill="1" applyBorder="1" applyAlignment="1">
      <alignment horizontal="center" vertical="center"/>
    </xf>
    <xf numFmtId="14" fontId="47" fillId="0" borderId="0" xfId="0" applyNumberFormat="1" applyFont="1">
      <alignment horizontal="left" vertical="center" wrapText="1"/>
    </xf>
    <xf numFmtId="3" fontId="48" fillId="0" borderId="0" xfId="0" applyFont="1" applyAlignment="1">
      <alignment vertical="top" wrapText="1"/>
    </xf>
    <xf numFmtId="20" fontId="48" fillId="0" borderId="0" xfId="0" applyNumberFormat="1" applyFont="1">
      <alignment horizontal="left" vertical="center" wrapText="1"/>
    </xf>
    <xf numFmtId="170" fontId="48" fillId="0" borderId="0" xfId="0" applyNumberFormat="1" applyFont="1">
      <alignment horizontal="left" vertical="center" wrapText="1"/>
    </xf>
    <xf numFmtId="4" fontId="48" fillId="0" borderId="0" xfId="0" applyNumberFormat="1" applyFont="1">
      <alignment horizontal="left" vertical="center" wrapText="1"/>
    </xf>
    <xf numFmtId="180" fontId="48" fillId="0" borderId="0" xfId="0" applyNumberFormat="1" applyFont="1">
      <alignment horizontal="left" vertical="center" wrapText="1"/>
    </xf>
    <xf numFmtId="3" fontId="48" fillId="0" borderId="0" xfId="0" applyFont="1">
      <alignment horizontal="left" vertical="center" wrapText="1"/>
    </xf>
    <xf numFmtId="0" fontId="5" fillId="0" borderId="1" xfId="42" applyFont="1" applyBorder="1" applyAlignment="1">
      <alignment horizontal="center" vertical="center"/>
    </xf>
    <xf numFmtId="170" fontId="25" fillId="0" borderId="1" xfId="0" applyNumberFormat="1" applyFont="1" applyBorder="1" applyAlignment="1">
      <alignment horizontal="center" vertical="center" wrapText="1"/>
    </xf>
    <xf numFmtId="0" fontId="14" fillId="0" borderId="0" xfId="9" applyFont="1"/>
    <xf numFmtId="14" fontId="14" fillId="0" borderId="0" xfId="9" applyNumberFormat="1" applyFont="1"/>
    <xf numFmtId="49" fontId="14" fillId="0" borderId="0" xfId="9" applyNumberFormat="1" applyFont="1"/>
    <xf numFmtId="165" fontId="14" fillId="0" borderId="0" xfId="9" applyNumberFormat="1" applyFont="1"/>
    <xf numFmtId="177" fontId="5" fillId="0" borderId="0" xfId="0" applyNumberFormat="1" applyFont="1" applyAlignment="1">
      <alignment vertical="center"/>
    </xf>
    <xf numFmtId="177" fontId="10" fillId="0" borderId="0" xfId="0" applyNumberFormat="1" applyFont="1" applyAlignment="1"/>
    <xf numFmtId="177" fontId="10" fillId="0" borderId="0" xfId="0" applyNumberFormat="1" applyFont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/>
    </xf>
    <xf numFmtId="3" fontId="5" fillId="0" borderId="0" xfId="0" applyFont="1" applyAlignment="1">
      <alignment horizontal="center" vertical="center"/>
    </xf>
    <xf numFmtId="164" fontId="5" fillId="0" borderId="5" xfId="0" applyNumberFormat="1" applyFont="1" applyBorder="1" applyAlignment="1"/>
    <xf numFmtId="0" fontId="14" fillId="0" borderId="0" xfId="42" applyFont="1"/>
    <xf numFmtId="14" fontId="14" fillId="0" borderId="0" xfId="42" applyNumberFormat="1" applyFont="1"/>
    <xf numFmtId="49" fontId="14" fillId="0" borderId="0" xfId="42" applyNumberFormat="1" applyFont="1"/>
    <xf numFmtId="165" fontId="14" fillId="0" borderId="0" xfId="42" applyNumberFormat="1" applyFont="1"/>
    <xf numFmtId="164" fontId="5" fillId="0" borderId="0" xfId="9" applyNumberFormat="1" applyAlignment="1">
      <alignment horizontal="right"/>
    </xf>
    <xf numFmtId="15" fontId="14" fillId="10" borderId="1" xfId="0" applyNumberFormat="1" applyFont="1" applyFill="1" applyBorder="1">
      <alignment horizontal="left" vertical="center" wrapText="1"/>
    </xf>
    <xf numFmtId="165" fontId="14" fillId="2" borderId="1" xfId="0" applyNumberFormat="1" applyFont="1" applyFill="1" applyBorder="1" applyAlignment="1">
      <alignment horizontal="left" vertical="top" wrapText="1"/>
    </xf>
    <xf numFmtId="164" fontId="14" fillId="2" borderId="1" xfId="0" applyNumberFormat="1" applyFont="1" applyFill="1" applyBorder="1" applyAlignment="1">
      <alignment horizontal="left" vertical="top" wrapText="1"/>
    </xf>
    <xf numFmtId="164" fontId="14" fillId="2" borderId="0" xfId="0" applyNumberFormat="1" applyFont="1" applyFill="1" applyAlignment="1">
      <alignment horizontal="left" vertical="top" wrapText="1"/>
    </xf>
    <xf numFmtId="3" fontId="39" fillId="0" borderId="1" xfId="0" applyFont="1" applyBorder="1" applyAlignment="1">
      <alignment horizontal="center" vertical="center" wrapText="1"/>
    </xf>
    <xf numFmtId="3" fontId="14" fillId="10" borderId="1" xfId="0" applyFont="1" applyFill="1" applyBorder="1">
      <alignment horizontal="left" vertical="center" wrapText="1"/>
    </xf>
    <xf numFmtId="164" fontId="14" fillId="4" borderId="7" xfId="0" applyNumberFormat="1" applyFont="1" applyFill="1" applyBorder="1" applyAlignment="1">
      <alignment horizontal="left" vertical="top" wrapText="1"/>
    </xf>
    <xf numFmtId="15" fontId="14" fillId="10" borderId="1" xfId="0" applyNumberFormat="1" applyFont="1" applyFill="1" applyBorder="1" applyAlignment="1">
      <alignment wrapText="1"/>
    </xf>
    <xf numFmtId="15" fontId="14" fillId="10" borderId="1" xfId="0" applyNumberFormat="1" applyFont="1" applyFill="1" applyBorder="1" applyAlignment="1">
      <alignment horizontal="center" wrapText="1"/>
    </xf>
    <xf numFmtId="1" fontId="14" fillId="10" borderId="2" xfId="0" applyNumberFormat="1" applyFont="1" applyFill="1" applyBorder="1" applyAlignment="1">
      <alignment horizontal="center" vertical="center" wrapText="1"/>
    </xf>
    <xf numFmtId="1" fontId="14" fillId="10" borderId="2" xfId="0" applyNumberFormat="1" applyFont="1" applyFill="1" applyBorder="1">
      <alignment horizontal="left" vertical="center" wrapText="1"/>
    </xf>
    <xf numFmtId="1" fontId="14" fillId="0" borderId="0" xfId="0" applyNumberFormat="1" applyFont="1">
      <alignment horizontal="left" vertical="center" wrapText="1"/>
    </xf>
    <xf numFmtId="1" fontId="39" fillId="0" borderId="0" xfId="0" applyNumberFormat="1" applyFont="1">
      <alignment horizontal="left" vertical="center" wrapText="1"/>
    </xf>
    <xf numFmtId="1" fontId="14" fillId="0" borderId="1" xfId="0" applyNumberFormat="1" applyFont="1" applyBorder="1" applyAlignment="1">
      <alignment horizontal="center"/>
    </xf>
    <xf numFmtId="15" fontId="17" fillId="10" borderId="1" xfId="0" applyNumberFormat="1" applyFont="1" applyFill="1" applyBorder="1" applyAlignment="1">
      <alignment horizontal="center" vertical="center" wrapText="1"/>
    </xf>
    <xf numFmtId="177" fontId="6" fillId="7" borderId="7" xfId="0" applyNumberFormat="1" applyFont="1" applyFill="1" applyBorder="1" applyAlignment="1">
      <alignment horizontal="center" vertical="center"/>
    </xf>
    <xf numFmtId="15" fontId="6" fillId="7" borderId="7" xfId="0" applyNumberFormat="1" applyFont="1" applyFill="1" applyBorder="1" applyAlignment="1">
      <alignment horizontal="center" vertical="center" wrapText="1"/>
    </xf>
    <xf numFmtId="15" fontId="6" fillId="7" borderId="1" xfId="0" applyNumberFormat="1" applyFont="1" applyFill="1" applyBorder="1" applyAlignment="1">
      <alignment horizontal="center" vertical="center" wrapText="1"/>
    </xf>
    <xf numFmtId="164" fontId="23" fillId="0" borderId="8" xfId="0" applyNumberFormat="1" applyFont="1" applyBorder="1" applyAlignment="1">
      <alignment horizontal="center"/>
    </xf>
    <xf numFmtId="3" fontId="24" fillId="0" borderId="8" xfId="0" applyFont="1" applyBorder="1" applyAlignment="1">
      <alignment horizontal="center"/>
    </xf>
    <xf numFmtId="164" fontId="16" fillId="2" borderId="0" xfId="0" applyNumberFormat="1" applyFont="1" applyFill="1" applyAlignment="1">
      <alignment horizontal="left" vertical="top" wrapText="1"/>
    </xf>
    <xf numFmtId="170" fontId="25" fillId="0" borderId="1" xfId="0" applyNumberFormat="1" applyFont="1" applyBorder="1">
      <alignment horizontal="left" vertical="center" wrapText="1"/>
    </xf>
    <xf numFmtId="185" fontId="25" fillId="0" borderId="0" xfId="0" applyNumberFormat="1" applyFont="1">
      <alignment horizontal="left" vertical="center" wrapText="1"/>
    </xf>
    <xf numFmtId="14" fontId="5" fillId="0" borderId="0" xfId="9" applyNumberFormat="1"/>
    <xf numFmtId="3" fontId="0" fillId="51" borderId="1" xfId="0" applyFill="1" applyBorder="1" applyAlignment="1">
      <alignment horizontal="center"/>
    </xf>
    <xf numFmtId="3" fontId="77" fillId="0" borderId="1" xfId="0" applyFont="1" applyBorder="1" applyAlignment="1">
      <alignment horizontal="center"/>
    </xf>
    <xf numFmtId="4" fontId="77" fillId="0" borderId="1" xfId="0" applyNumberFormat="1" applyFont="1" applyBorder="1" applyAlignment="1">
      <alignment horizontal="center"/>
    </xf>
    <xf numFmtId="4" fontId="77" fillId="52" borderId="1" xfId="0" applyNumberFormat="1" applyFont="1" applyFill="1" applyBorder="1" applyAlignment="1">
      <alignment horizontal="center"/>
    </xf>
    <xf numFmtId="3" fontId="39" fillId="0" borderId="1" xfId="0" applyFont="1" applyBorder="1" applyAlignment="1">
      <alignment horizontal="center"/>
    </xf>
    <xf numFmtId="180" fontId="0" fillId="0" borderId="0" xfId="0" applyNumberFormat="1" applyAlignment="1"/>
    <xf numFmtId="180" fontId="0" fillId="7" borderId="0" xfId="0" applyNumberFormat="1" applyFill="1" applyAlignment="1"/>
    <xf numFmtId="170" fontId="5" fillId="0" borderId="0" xfId="0" applyNumberFormat="1" applyFont="1">
      <alignment horizontal="left" vertical="center" wrapText="1"/>
    </xf>
    <xf numFmtId="2" fontId="39" fillId="0" borderId="1" xfId="0" applyNumberFormat="1" applyFont="1" applyBorder="1" applyAlignment="1">
      <alignment horizontal="center" vertical="center"/>
    </xf>
    <xf numFmtId="2" fontId="39" fillId="0" borderId="1" xfId="0" applyNumberFormat="1" applyFont="1" applyBorder="1" applyAlignment="1">
      <alignment horizontal="center" vertical="center" wrapText="1"/>
    </xf>
    <xf numFmtId="164" fontId="39" fillId="0" borderId="1" xfId="0" applyNumberFormat="1" applyFont="1" applyBorder="1" applyAlignment="1">
      <alignment horizontal="center" vertical="center" wrapText="1"/>
    </xf>
    <xf numFmtId="3" fontId="25" fillId="7" borderId="1" xfId="0" applyFont="1" applyFill="1" applyBorder="1" applyAlignment="1">
      <alignment horizontal="center" wrapText="1"/>
    </xf>
    <xf numFmtId="3" fontId="25" fillId="7" borderId="10" xfId="0" applyFont="1" applyFill="1" applyBorder="1">
      <alignment horizontal="left" vertical="center" wrapText="1"/>
    </xf>
    <xf numFmtId="3" fontId="78" fillId="0" borderId="0" xfId="0" applyFont="1">
      <alignment horizontal="left" vertical="center" wrapText="1"/>
    </xf>
    <xf numFmtId="1" fontId="78" fillId="0" borderId="10" xfId="0" applyNumberFormat="1" applyFon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3" fontId="78" fillId="0" borderId="10" xfId="0" applyFont="1" applyBorder="1">
      <alignment horizontal="left" vertical="center" wrapText="1"/>
    </xf>
    <xf numFmtId="3" fontId="25" fillId="0" borderId="1" xfId="0" applyFont="1" applyBorder="1" applyAlignment="1">
      <alignment horizontal="center" vertical="center" wrapText="1"/>
    </xf>
    <xf numFmtId="3" fontId="25" fillId="7" borderId="1" xfId="0" applyFont="1" applyFill="1" applyBorder="1" applyAlignment="1">
      <alignment horizontal="center" vertical="center" wrapText="1"/>
    </xf>
    <xf numFmtId="9" fontId="31" fillId="0" borderId="1" xfId="5" applyFont="1" applyBorder="1" applyAlignment="1">
      <alignment horizontal="left" vertical="center" wrapText="1"/>
    </xf>
    <xf numFmtId="3" fontId="31" fillId="7" borderId="1" xfId="0" applyFont="1" applyFill="1" applyBorder="1">
      <alignment horizontal="left" vertical="center" wrapText="1"/>
    </xf>
    <xf numFmtId="1" fontId="31" fillId="0" borderId="1" xfId="5" applyNumberFormat="1" applyFont="1" applyBorder="1" applyAlignment="1">
      <alignment horizontal="center" vertical="center"/>
    </xf>
    <xf numFmtId="9" fontId="31" fillId="0" borderId="1" xfId="0" applyNumberFormat="1" applyFont="1" applyBorder="1" applyAlignment="1">
      <alignment horizontal="center" vertical="center" wrapText="1"/>
    </xf>
    <xf numFmtId="164" fontId="31" fillId="7" borderId="7" xfId="0" applyNumberFormat="1" applyFont="1" applyFill="1" applyBorder="1" applyAlignment="1">
      <alignment horizontal="center" vertical="center" wrapText="1"/>
    </xf>
    <xf numFmtId="164" fontId="31" fillId="0" borderId="7" xfId="0" applyNumberFormat="1" applyFont="1" applyBorder="1" applyAlignment="1">
      <alignment horizontal="center" vertical="center"/>
    </xf>
    <xf numFmtId="164" fontId="33" fillId="7" borderId="1" xfId="0" applyNumberFormat="1" applyFont="1" applyFill="1" applyBorder="1" applyAlignment="1">
      <alignment horizontal="center" vertical="center" wrapText="1"/>
    </xf>
    <xf numFmtId="9" fontId="31" fillId="0" borderId="1" xfId="0" applyNumberFormat="1" applyFont="1" applyBorder="1" applyAlignment="1">
      <alignment horizontal="center" vertical="center"/>
    </xf>
    <xf numFmtId="3" fontId="39" fillId="7" borderId="1" xfId="0" applyFont="1" applyFill="1" applyBorder="1" applyAlignment="1">
      <alignment horizontal="center" vertical="center" wrapText="1"/>
    </xf>
    <xf numFmtId="177" fontId="39" fillId="7" borderId="1" xfId="0" applyNumberFormat="1" applyFont="1" applyFill="1" applyBorder="1" applyAlignment="1">
      <alignment horizontal="center" vertical="center" wrapText="1"/>
    </xf>
    <xf numFmtId="177" fontId="25" fillId="7" borderId="1" xfId="0" applyNumberFormat="1" applyFont="1" applyFill="1" applyBorder="1" applyAlignment="1">
      <alignment horizontal="center" vertical="center" wrapText="1"/>
    </xf>
    <xf numFmtId="14" fontId="39" fillId="0" borderId="1" xfId="0" applyNumberFormat="1" applyFont="1" applyBorder="1" applyAlignment="1">
      <alignment horizontal="right"/>
    </xf>
    <xf numFmtId="164" fontId="25" fillId="0" borderId="1" xfId="0" applyNumberFormat="1" applyFont="1" applyBorder="1" applyAlignment="1"/>
    <xf numFmtId="14" fontId="39" fillId="0" borderId="0" xfId="0" applyNumberFormat="1" applyFont="1" applyAlignment="1">
      <alignment horizontal="right"/>
    </xf>
    <xf numFmtId="170" fontId="25" fillId="0" borderId="1" xfId="0" applyNumberFormat="1" applyFont="1" applyBorder="1" applyAlignment="1">
      <alignment horizontal="center" wrapText="1"/>
    </xf>
    <xf numFmtId="3" fontId="25" fillId="0" borderId="1" xfId="0" applyFont="1" applyBorder="1" applyAlignment="1">
      <alignment horizontal="center" wrapText="1"/>
    </xf>
    <xf numFmtId="164" fontId="25" fillId="0" borderId="1" xfId="0" applyNumberFormat="1" applyFont="1" applyBorder="1" applyAlignment="1">
      <alignment horizontal="center" wrapText="1"/>
    </xf>
    <xf numFmtId="1" fontId="25" fillId="0" borderId="1" xfId="0" applyNumberFormat="1" applyFont="1" applyBorder="1" applyAlignment="1">
      <alignment horizontal="center"/>
    </xf>
    <xf numFmtId="3" fontId="10" fillId="0" borderId="1" xfId="0" applyFont="1" applyBorder="1" applyAlignment="1">
      <alignment horizontal="left" wrapText="1"/>
    </xf>
    <xf numFmtId="3" fontId="5" fillId="0" borderId="1" xfId="0" applyFont="1" applyBorder="1" applyAlignment="1">
      <alignment horizontal="center" vertical="center" wrapText="1"/>
    </xf>
    <xf numFmtId="9" fontId="10" fillId="0" borderId="0" xfId="5" applyFont="1" applyAlignment="1">
      <alignment horizontal="left" vertical="center" wrapText="1"/>
    </xf>
    <xf numFmtId="3" fontId="25" fillId="0" borderId="1" xfId="0" applyFont="1" applyBorder="1" applyAlignment="1">
      <alignment horizontal="right" vertical="center" wrapText="1"/>
    </xf>
    <xf numFmtId="14" fontId="22" fillId="7" borderId="1" xfId="6" applyNumberFormat="1" applyFont="1" applyFill="1" applyAlignment="1">
      <alignment vertical="center" wrapText="1"/>
    </xf>
    <xf numFmtId="0" fontId="25" fillId="0" borderId="1" xfId="0" applyNumberFormat="1" applyFont="1" applyBorder="1">
      <alignment horizontal="left" vertical="center" wrapText="1"/>
    </xf>
    <xf numFmtId="9" fontId="25" fillId="0" borderId="1" xfId="5" applyFont="1" applyBorder="1" applyAlignment="1">
      <alignment horizontal="left" vertical="center" wrapText="1"/>
    </xf>
    <xf numFmtId="180" fontId="25" fillId="0" borderId="1" xfId="0" applyNumberFormat="1" applyFont="1" applyBorder="1">
      <alignment horizontal="left" vertical="center" wrapText="1"/>
    </xf>
    <xf numFmtId="0" fontId="25" fillId="0" borderId="0" xfId="0" applyNumberFormat="1" applyFont="1">
      <alignment horizontal="left" vertical="center" wrapText="1"/>
    </xf>
    <xf numFmtId="14" fontId="25" fillId="7" borderId="1" xfId="0" applyNumberFormat="1" applyFont="1" applyFill="1" applyBorder="1" applyAlignment="1">
      <alignment vertical="top" wrapText="1"/>
    </xf>
    <xf numFmtId="2" fontId="25" fillId="0" borderId="7" xfId="0" applyNumberFormat="1" applyFont="1" applyBorder="1" applyAlignment="1">
      <alignment horizontal="center" vertical="top" wrapText="1"/>
    </xf>
    <xf numFmtId="2" fontId="25" fillId="0" borderId="1" xfId="0" applyNumberFormat="1" applyFont="1" applyBorder="1" applyAlignment="1">
      <alignment horizontal="center" vertical="top" wrapText="1"/>
    </xf>
    <xf numFmtId="164" fontId="25" fillId="0" borderId="7" xfId="0" applyNumberFormat="1" applyFont="1" applyBorder="1" applyAlignment="1">
      <alignment horizontal="center" vertical="top" wrapText="1"/>
    </xf>
    <xf numFmtId="164" fontId="25" fillId="0" borderId="1" xfId="0" applyNumberFormat="1" applyFont="1" applyBorder="1" applyAlignment="1">
      <alignment horizontal="center" vertical="top" wrapText="1"/>
    </xf>
    <xf numFmtId="3" fontId="25" fillId="0" borderId="7" xfId="0" applyFont="1" applyBorder="1" applyAlignment="1">
      <alignment vertical="top" wrapText="1"/>
    </xf>
    <xf numFmtId="174" fontId="25" fillId="0" borderId="1" xfId="0" applyNumberFormat="1" applyFont="1" applyBorder="1" applyAlignment="1">
      <alignment horizontal="center" vertical="center" wrapText="1"/>
    </xf>
    <xf numFmtId="20" fontId="25" fillId="0" borderId="1" xfId="0" applyNumberFormat="1" applyFont="1" applyBorder="1" applyAlignment="1">
      <alignment horizontal="center" vertical="center" wrapText="1"/>
    </xf>
    <xf numFmtId="164" fontId="25" fillId="0" borderId="1" xfId="0" applyNumberFormat="1" applyFont="1" applyBorder="1" applyAlignment="1">
      <alignment horizontal="center" vertical="center" wrapText="1"/>
    </xf>
    <xf numFmtId="9" fontId="25" fillId="0" borderId="1" xfId="5" applyFont="1" applyBorder="1" applyAlignment="1">
      <alignment horizontal="center" vertical="center"/>
    </xf>
    <xf numFmtId="0" fontId="10" fillId="0" borderId="0" xfId="9" applyFont="1" applyAlignment="1">
      <alignment horizontal="left"/>
    </xf>
    <xf numFmtId="3" fontId="40" fillId="13" borderId="1" xfId="0" applyFont="1" applyFill="1" applyBorder="1" applyAlignment="1">
      <alignment vertical="center"/>
    </xf>
    <xf numFmtId="3" fontId="40" fillId="13" borderId="1" xfId="0" applyFont="1" applyFill="1" applyBorder="1" applyAlignment="1">
      <alignment vertical="center" wrapText="1"/>
    </xf>
    <xf numFmtId="3" fontId="79" fillId="0" borderId="1" xfId="0" applyFont="1" applyBorder="1" applyAlignment="1">
      <alignment vertical="center"/>
    </xf>
    <xf numFmtId="3" fontId="79" fillId="0" borderId="1" xfId="0" applyFont="1" applyBorder="1">
      <alignment horizontal="left" vertical="center" wrapText="1"/>
    </xf>
    <xf numFmtId="3" fontId="79" fillId="0" borderId="1" xfId="0" applyFont="1" applyBorder="1" applyAlignment="1">
      <alignment horizontal="left" vertical="center"/>
    </xf>
    <xf numFmtId="1" fontId="10" fillId="0" borderId="1" xfId="9" applyNumberFormat="1" applyFont="1" applyBorder="1" applyAlignment="1">
      <alignment horizontal="center" vertical="center"/>
    </xf>
    <xf numFmtId="0" fontId="37" fillId="7" borderId="1" xfId="9" applyFont="1" applyFill="1" applyBorder="1" applyAlignment="1">
      <alignment horizontal="left" wrapText="1"/>
    </xf>
    <xf numFmtId="0" fontId="81" fillId="0" borderId="58" xfId="67" applyFont="1" applyBorder="1" applyAlignment="1">
      <alignment horizontal="left" wrapText="1"/>
    </xf>
    <xf numFmtId="0" fontId="81" fillId="0" borderId="1" xfId="67" applyFont="1" applyBorder="1" applyAlignment="1">
      <alignment horizontal="center" vertical="center" wrapText="1"/>
    </xf>
    <xf numFmtId="0" fontId="81" fillId="0" borderId="1" xfId="67" applyFont="1" applyBorder="1" applyAlignment="1">
      <alignment horizontal="center" wrapText="1"/>
    </xf>
    <xf numFmtId="0" fontId="81" fillId="0" borderId="59" xfId="67" applyFont="1" applyBorder="1" applyAlignment="1">
      <alignment horizontal="center" wrapText="1"/>
    </xf>
    <xf numFmtId="3" fontId="81" fillId="0" borderId="1" xfId="67" applyNumberFormat="1" applyFont="1" applyBorder="1" applyAlignment="1">
      <alignment horizontal="center" vertical="center" wrapText="1"/>
    </xf>
    <xf numFmtId="3" fontId="81" fillId="0" borderId="1" xfId="67" applyNumberFormat="1" applyFont="1" applyBorder="1" applyAlignment="1">
      <alignment horizontal="center" wrapText="1"/>
    </xf>
    <xf numFmtId="3" fontId="81" fillId="0" borderId="59" xfId="67" applyNumberFormat="1" applyFont="1" applyBorder="1" applyAlignment="1">
      <alignment horizontal="center" wrapText="1"/>
    </xf>
    <xf numFmtId="0" fontId="81" fillId="0" borderId="56" xfId="67" applyFont="1" applyBorder="1" applyAlignment="1">
      <alignment horizontal="left" wrapText="1"/>
    </xf>
    <xf numFmtId="0" fontId="81" fillId="0" borderId="8" xfId="67" applyFont="1" applyBorder="1" applyAlignment="1">
      <alignment horizontal="center" vertical="center" wrapText="1"/>
    </xf>
    <xf numFmtId="0" fontId="81" fillId="0" borderId="8" xfId="67" applyFont="1" applyBorder="1" applyAlignment="1">
      <alignment horizontal="center" wrapText="1"/>
    </xf>
    <xf numFmtId="0" fontId="81" fillId="0" borderId="57" xfId="67" applyFont="1" applyBorder="1" applyAlignment="1">
      <alignment horizontal="center" wrapText="1"/>
    </xf>
    <xf numFmtId="0" fontId="81" fillId="0" borderId="58" xfId="67" applyFont="1" applyBorder="1" applyAlignment="1">
      <alignment vertical="center" wrapText="1"/>
    </xf>
    <xf numFmtId="0" fontId="81" fillId="0" borderId="63" xfId="67" applyFont="1" applyBorder="1" applyAlignment="1">
      <alignment vertical="center" wrapText="1"/>
    </xf>
    <xf numFmtId="0" fontId="81" fillId="0" borderId="64" xfId="67" applyFont="1" applyBorder="1" applyAlignment="1">
      <alignment horizontal="center" vertical="center" wrapText="1"/>
    </xf>
    <xf numFmtId="0" fontId="81" fillId="0" borderId="64" xfId="67" applyFont="1" applyBorder="1" applyAlignment="1">
      <alignment horizontal="center" wrapText="1"/>
    </xf>
    <xf numFmtId="0" fontId="81" fillId="0" borderId="65" xfId="67" applyFont="1" applyBorder="1" applyAlignment="1">
      <alignment horizontal="center" wrapText="1"/>
    </xf>
    <xf numFmtId="1" fontId="39" fillId="0" borderId="1" xfId="67" applyNumberFormat="1" applyFont="1" applyBorder="1" applyAlignment="1">
      <alignment horizontal="center"/>
    </xf>
    <xf numFmtId="0" fontId="81" fillId="0" borderId="1" xfId="67" applyFont="1" applyBorder="1" applyAlignment="1">
      <alignment horizontal="center"/>
    </xf>
    <xf numFmtId="0" fontId="81" fillId="0" borderId="59" xfId="67" applyFont="1" applyBorder="1" applyAlignment="1">
      <alignment horizontal="center"/>
    </xf>
    <xf numFmtId="1" fontId="39" fillId="0" borderId="1" xfId="67" applyNumberFormat="1" applyFont="1" applyBorder="1" applyAlignment="1">
      <alignment horizontal="center" vertical="center"/>
    </xf>
    <xf numFmtId="0" fontId="81" fillId="0" borderId="1" xfId="67" applyFont="1" applyBorder="1" applyAlignment="1">
      <alignment horizontal="center" vertical="center"/>
    </xf>
    <xf numFmtId="0" fontId="81" fillId="0" borderId="59" xfId="67" applyFont="1" applyBorder="1" applyAlignment="1">
      <alignment horizontal="center" vertical="center"/>
    </xf>
    <xf numFmtId="0" fontId="80" fillId="0" borderId="63" xfId="67" applyFont="1" applyBorder="1" applyAlignment="1">
      <alignment vertical="center" wrapText="1"/>
    </xf>
    <xf numFmtId="1" fontId="37" fillId="0" borderId="64" xfId="67" applyNumberFormat="1" applyFont="1" applyBorder="1" applyAlignment="1">
      <alignment horizontal="center" vertical="center"/>
    </xf>
    <xf numFmtId="0" fontId="80" fillId="0" borderId="64" xfId="67" applyFont="1" applyBorder="1" applyAlignment="1">
      <alignment horizontal="center" vertical="center" wrapText="1"/>
    </xf>
    <xf numFmtId="0" fontId="80" fillId="0" borderId="64" xfId="67" applyFont="1" applyBorder="1" applyAlignment="1">
      <alignment horizontal="center" vertical="center"/>
    </xf>
    <xf numFmtId="0" fontId="80" fillId="0" borderId="65" xfId="67" applyFont="1" applyBorder="1" applyAlignment="1">
      <alignment horizontal="center" vertical="center"/>
    </xf>
    <xf numFmtId="0" fontId="81" fillId="0" borderId="53" xfId="67" applyFont="1" applyBorder="1" applyAlignment="1">
      <alignment vertical="center" wrapText="1"/>
    </xf>
    <xf numFmtId="2" fontId="39" fillId="0" borderId="54" xfId="67" applyNumberFormat="1" applyFont="1" applyBorder="1" applyAlignment="1">
      <alignment horizontal="center" vertical="center"/>
    </xf>
    <xf numFmtId="2" fontId="81" fillId="0" borderId="54" xfId="67" applyNumberFormat="1" applyFont="1" applyBorder="1" applyAlignment="1">
      <alignment horizontal="center" vertical="center" wrapText="1"/>
    </xf>
    <xf numFmtId="2" fontId="81" fillId="0" borderId="54" xfId="67" applyNumberFormat="1" applyFont="1" applyBorder="1" applyAlignment="1">
      <alignment horizontal="center" vertical="center"/>
    </xf>
    <xf numFmtId="2" fontId="81" fillId="0" borderId="55" xfId="67" applyNumberFormat="1" applyFont="1" applyBorder="1" applyAlignment="1">
      <alignment horizontal="center" vertical="center"/>
    </xf>
    <xf numFmtId="2" fontId="39" fillId="0" borderId="64" xfId="67" applyNumberFormat="1" applyFont="1" applyBorder="1" applyAlignment="1">
      <alignment horizontal="center" vertical="center"/>
    </xf>
    <xf numFmtId="2" fontId="81" fillId="0" borderId="64" xfId="67" applyNumberFormat="1" applyFont="1" applyBorder="1" applyAlignment="1">
      <alignment horizontal="center" vertical="center" wrapText="1"/>
    </xf>
    <xf numFmtId="2" fontId="81" fillId="0" borderId="64" xfId="67" applyNumberFormat="1" applyFont="1" applyBorder="1" applyAlignment="1">
      <alignment horizontal="center" vertical="center"/>
    </xf>
    <xf numFmtId="2" fontId="81" fillId="0" borderId="65" xfId="67" applyNumberFormat="1" applyFont="1" applyBorder="1" applyAlignment="1">
      <alignment horizontal="center" vertical="center"/>
    </xf>
    <xf numFmtId="0" fontId="81" fillId="0" borderId="0" xfId="67" applyFont="1" applyAlignment="1">
      <alignment horizontal="center"/>
    </xf>
    <xf numFmtId="0" fontId="5" fillId="0" borderId="1" xfId="9" applyBorder="1"/>
    <xf numFmtId="1" fontId="5" fillId="0" borderId="1" xfId="9" applyNumberFormat="1" applyBorder="1" applyAlignment="1">
      <alignment horizontal="center" vertical="center"/>
    </xf>
    <xf numFmtId="3" fontId="0" fillId="0" borderId="1" xfId="0" applyBorder="1" applyAlignment="1">
      <alignment horizontal="center" vertical="center"/>
    </xf>
    <xf numFmtId="3" fontId="39" fillId="0" borderId="0" xfId="0" applyFont="1" applyAlignment="1">
      <alignment horizontal="left" vertical="top"/>
    </xf>
    <xf numFmtId="14" fontId="39" fillId="0" borderId="0" xfId="0" applyNumberFormat="1" applyFont="1">
      <alignment horizontal="left" vertical="center" wrapText="1"/>
    </xf>
    <xf numFmtId="3" fontId="40" fillId="14" borderId="1" xfId="0" applyFont="1" applyFill="1" applyBorder="1" applyAlignment="1">
      <alignment horizontal="center" wrapText="1"/>
    </xf>
    <xf numFmtId="3" fontId="37" fillId="14" borderId="1" xfId="0" applyFont="1" applyFill="1" applyBorder="1" applyAlignment="1">
      <alignment horizontal="center" wrapText="1"/>
    </xf>
    <xf numFmtId="3" fontId="39" fillId="0" borderId="0" xfId="0" applyFont="1" applyAlignment="1">
      <alignment horizontal="center" vertical="center"/>
    </xf>
    <xf numFmtId="164" fontId="38" fillId="0" borderId="0" xfId="0" applyNumberFormat="1" applyFont="1">
      <alignment horizontal="left" vertical="center" wrapText="1"/>
    </xf>
    <xf numFmtId="164" fontId="38" fillId="0" borderId="0" xfId="0" applyNumberFormat="1" applyFont="1" applyAlignment="1">
      <alignment horizontal="left"/>
    </xf>
    <xf numFmtId="164" fontId="11" fillId="0" borderId="0" xfId="0" applyNumberFormat="1" applyFont="1">
      <alignment horizontal="left" vertical="center" wrapText="1"/>
    </xf>
    <xf numFmtId="1" fontId="38" fillId="0" borderId="0" xfId="0" applyNumberFormat="1" applyFont="1">
      <alignment horizontal="left" vertical="center" wrapText="1"/>
    </xf>
    <xf numFmtId="1" fontId="38" fillId="0" borderId="0" xfId="0" applyNumberFormat="1" applyFont="1" applyAlignment="1">
      <alignment horizontal="left"/>
    </xf>
    <xf numFmtId="1" fontId="11" fillId="0" borderId="0" xfId="0" applyNumberFormat="1" applyFont="1">
      <alignment horizontal="left" vertical="center" wrapText="1"/>
    </xf>
    <xf numFmtId="0" fontId="0" fillId="0" borderId="1" xfId="0" applyNumberFormat="1" applyBorder="1" applyAlignment="1">
      <alignment horizontal="left" vertical="top" wrapText="1"/>
    </xf>
    <xf numFmtId="0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3" fontId="40" fillId="7" borderId="1" xfId="0" applyFont="1" applyFill="1" applyBorder="1" applyAlignment="1">
      <alignment horizontal="center" vertical="center" wrapText="1"/>
    </xf>
    <xf numFmtId="3" fontId="40" fillId="13" borderId="8" xfId="0" applyFont="1" applyFill="1" applyBorder="1" applyAlignment="1">
      <alignment vertical="center" wrapText="1"/>
    </xf>
    <xf numFmtId="3" fontId="0" fillId="7" borderId="1" xfId="0" applyFill="1" applyBorder="1" applyAlignment="1">
      <alignment vertical="center" wrapText="1"/>
    </xf>
    <xf numFmtId="0" fontId="0" fillId="0" borderId="0" xfId="0" applyNumberFormat="1" applyAlignment="1">
      <alignment horizontal="left" vertical="top" wrapText="1"/>
    </xf>
    <xf numFmtId="1" fontId="31" fillId="0" borderId="0" xfId="0" applyNumberFormat="1" applyFont="1" applyAlignment="1">
      <alignment horizontal="center" vertical="center"/>
    </xf>
    <xf numFmtId="3" fontId="22" fillId="0" borderId="1" xfId="0" applyFont="1" applyBorder="1" applyAlignment="1">
      <alignment horizontal="left" vertical="top" wrapText="1"/>
    </xf>
    <xf numFmtId="3" fontId="0" fillId="0" borderId="1" xfId="0" applyBorder="1" applyAlignment="1">
      <alignment horizontal="left" vertical="top" wrapText="1"/>
    </xf>
    <xf numFmtId="185" fontId="0" fillId="0" borderId="0" xfId="0" applyNumberFormat="1" applyAlignment="1">
      <alignment horizontal="left" vertical="top" wrapText="1"/>
    </xf>
    <xf numFmtId="2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22" fillId="54" borderId="1" xfId="0" applyFont="1" applyFill="1" applyBorder="1" applyAlignment="1">
      <alignment horizontal="left" vertical="top" wrapText="1"/>
    </xf>
    <xf numFmtId="3" fontId="0" fillId="54" borderId="1" xfId="0" applyFill="1" applyBorder="1" applyAlignment="1">
      <alignment horizontal="center" vertical="center" wrapText="1"/>
    </xf>
    <xf numFmtId="3" fontId="40" fillId="54" borderId="8" xfId="0" applyFont="1" applyFill="1" applyBorder="1" applyAlignment="1">
      <alignment vertical="center" wrapText="1"/>
    </xf>
    <xf numFmtId="3" fontId="0" fillId="54" borderId="1" xfId="0" applyFill="1" applyBorder="1" applyAlignment="1">
      <alignment vertical="center" wrapText="1"/>
    </xf>
    <xf numFmtId="3" fontId="22" fillId="7" borderId="1" xfId="0" applyFont="1" applyFill="1" applyBorder="1" applyAlignment="1">
      <alignment horizontal="left" vertical="top" wrapText="1"/>
    </xf>
    <xf numFmtId="3" fontId="0" fillId="7" borderId="7" xfId="0" applyFill="1" applyBorder="1" applyAlignment="1">
      <alignment vertical="center" wrapText="1"/>
    </xf>
    <xf numFmtId="2" fontId="0" fillId="0" borderId="2" xfId="0" applyNumberFormat="1" applyBorder="1" applyAlignment="1">
      <alignment horizontal="center"/>
    </xf>
    <xf numFmtId="3" fontId="22" fillId="7" borderId="10" xfId="0" applyFont="1" applyFill="1" applyBorder="1" applyAlignment="1">
      <alignment horizontal="left" vertical="top" wrapText="1"/>
    </xf>
    <xf numFmtId="3" fontId="0" fillId="0" borderId="7" xfId="0" applyBorder="1" applyAlignment="1">
      <alignment horizontal="center" vertical="center" wrapText="1"/>
    </xf>
    <xf numFmtId="3" fontId="22" fillId="7" borderId="7" xfId="0" applyFont="1" applyFill="1" applyBorder="1" applyAlignment="1">
      <alignment horizontal="left" vertical="top" wrapText="1"/>
    </xf>
    <xf numFmtId="3" fontId="40" fillId="13" borderId="7" xfId="0" applyFont="1" applyFill="1" applyBorder="1" applyAlignment="1">
      <alignment vertical="center" wrapText="1"/>
    </xf>
    <xf numFmtId="3" fontId="79" fillId="0" borderId="7" xfId="0" applyFont="1" applyBorder="1">
      <alignment horizontal="left" vertical="center" wrapText="1"/>
    </xf>
    <xf numFmtId="3" fontId="39" fillId="0" borderId="7" xfId="0" applyFont="1" applyBorder="1">
      <alignment horizontal="left" vertical="center" wrapText="1"/>
    </xf>
    <xf numFmtId="3" fontId="39" fillId="7" borderId="1" xfId="0" applyFont="1" applyFill="1" applyBorder="1">
      <alignment horizontal="left" vertical="center" wrapText="1"/>
    </xf>
    <xf numFmtId="3" fontId="84" fillId="0" borderId="0" xfId="0" applyFont="1">
      <alignment horizontal="left" vertical="center" wrapText="1"/>
    </xf>
    <xf numFmtId="14" fontId="84" fillId="0" borderId="0" xfId="0" applyNumberFormat="1" applyFont="1">
      <alignment horizontal="left" vertical="center" wrapText="1"/>
    </xf>
    <xf numFmtId="3" fontId="83" fillId="0" borderId="0" xfId="0" applyFont="1">
      <alignment horizontal="left" vertical="center" wrapText="1"/>
    </xf>
    <xf numFmtId="15" fontId="83" fillId="5" borderId="0" xfId="0" applyNumberFormat="1" applyFont="1" applyFill="1">
      <alignment horizontal="left" vertical="center" wrapText="1"/>
    </xf>
    <xf numFmtId="3" fontId="87" fillId="17" borderId="37" xfId="0" applyFont="1" applyFill="1" applyBorder="1">
      <alignment horizontal="left" vertical="center" wrapText="1"/>
    </xf>
    <xf numFmtId="15" fontId="88" fillId="0" borderId="0" xfId="0" applyNumberFormat="1" applyFont="1">
      <alignment horizontal="left" vertical="center" wrapText="1"/>
    </xf>
    <xf numFmtId="177" fontId="83" fillId="0" borderId="0" xfId="0" applyNumberFormat="1" applyFont="1" applyAlignment="1">
      <alignment horizontal="right"/>
    </xf>
    <xf numFmtId="15" fontId="83" fillId="0" borderId="0" xfId="0" applyNumberFormat="1" applyFont="1">
      <alignment horizontal="left" vertical="center" wrapText="1"/>
    </xf>
    <xf numFmtId="1" fontId="83" fillId="0" borderId="0" xfId="0" applyNumberFormat="1" applyFont="1" applyAlignment="1">
      <alignment horizontal="center"/>
    </xf>
    <xf numFmtId="2" fontId="83" fillId="0" borderId="0" xfId="0" applyNumberFormat="1" applyFont="1">
      <alignment horizontal="left" vertical="center" wrapText="1"/>
    </xf>
    <xf numFmtId="165" fontId="83" fillId="0" borderId="0" xfId="0" applyNumberFormat="1" applyFont="1">
      <alignment horizontal="left" vertical="center" wrapText="1"/>
    </xf>
    <xf numFmtId="165" fontId="88" fillId="7" borderId="7" xfId="0" applyNumberFormat="1" applyFont="1" applyFill="1" applyBorder="1">
      <alignment horizontal="left" vertical="center" wrapText="1"/>
    </xf>
    <xf numFmtId="2" fontId="91" fillId="0" borderId="0" xfId="0" applyNumberFormat="1" applyFont="1">
      <alignment horizontal="left" vertical="center" wrapText="1"/>
    </xf>
    <xf numFmtId="165" fontId="84" fillId="0" borderId="0" xfId="0" applyNumberFormat="1" applyFont="1">
      <alignment horizontal="left" vertical="center" wrapText="1"/>
    </xf>
    <xf numFmtId="1" fontId="84" fillId="0" borderId="0" xfId="0" applyNumberFormat="1" applyFont="1" applyAlignment="1">
      <alignment horizontal="center"/>
    </xf>
    <xf numFmtId="2" fontId="84" fillId="0" borderId="0" xfId="0" applyNumberFormat="1" applyFont="1">
      <alignment horizontal="left" vertical="center" wrapText="1"/>
    </xf>
    <xf numFmtId="3" fontId="84" fillId="0" borderId="1" xfId="0" applyFont="1" applyBorder="1">
      <alignment horizontal="left" vertical="center" wrapText="1"/>
    </xf>
    <xf numFmtId="165" fontId="91" fillId="0" borderId="0" xfId="0" applyNumberFormat="1" applyFont="1">
      <alignment horizontal="left" vertical="center" wrapText="1"/>
    </xf>
    <xf numFmtId="3" fontId="88" fillId="7" borderId="1" xfId="0" applyFont="1" applyFill="1" applyBorder="1">
      <alignment horizontal="left" vertical="center" wrapText="1"/>
    </xf>
    <xf numFmtId="3" fontId="83" fillId="2" borderId="10" xfId="0" applyFont="1" applyFill="1" applyBorder="1">
      <alignment horizontal="left" vertical="center" wrapText="1"/>
    </xf>
    <xf numFmtId="165" fontId="88" fillId="7" borderId="1" xfId="0" applyNumberFormat="1" applyFont="1" applyFill="1" applyBorder="1">
      <alignment horizontal="left" vertical="center" wrapText="1"/>
    </xf>
    <xf numFmtId="3" fontId="87" fillId="17" borderId="38" xfId="0" applyFont="1" applyFill="1" applyBorder="1">
      <alignment horizontal="left" vertical="center" wrapText="1"/>
    </xf>
    <xf numFmtId="3" fontId="83" fillId="7" borderId="1" xfId="0" applyFont="1" applyFill="1" applyBorder="1">
      <alignment horizontal="left" vertical="center" wrapText="1"/>
    </xf>
    <xf numFmtId="164" fontId="92" fillId="0" borderId="1" xfId="0" applyNumberFormat="1" applyFont="1" applyBorder="1" applyAlignment="1">
      <alignment horizontal="center"/>
    </xf>
    <xf numFmtId="165" fontId="88" fillId="7" borderId="0" xfId="0" applyNumberFormat="1" applyFont="1" applyFill="1">
      <alignment horizontal="left" vertical="center" wrapText="1"/>
    </xf>
    <xf numFmtId="3" fontId="88" fillId="7" borderId="1" xfId="0" applyFont="1" applyFill="1" applyBorder="1" applyAlignment="1">
      <alignment horizontal="right"/>
    </xf>
    <xf numFmtId="3" fontId="83" fillId="7" borderId="1" xfId="0" applyFont="1" applyFill="1" applyBorder="1" applyAlignment="1">
      <alignment horizontal="center"/>
    </xf>
    <xf numFmtId="3" fontId="88" fillId="7" borderId="8" xfId="0" applyFont="1" applyFill="1" applyBorder="1" applyAlignment="1">
      <alignment horizontal="center"/>
    </xf>
    <xf numFmtId="3" fontId="83" fillId="0" borderId="0" xfId="0" applyFont="1" applyAlignment="1"/>
    <xf numFmtId="3" fontId="83" fillId="0" borderId="0" xfId="0" applyFont="1" applyAlignment="1">
      <alignment horizontal="center" wrapText="1"/>
    </xf>
    <xf numFmtId="3" fontId="88" fillId="0" borderId="0" xfId="0" applyFont="1" applyAlignment="1"/>
    <xf numFmtId="170" fontId="92" fillId="0" borderId="1" xfId="0" applyNumberFormat="1" applyFont="1" applyBorder="1" applyAlignment="1">
      <alignment horizontal="center"/>
    </xf>
    <xf numFmtId="3" fontId="83" fillId="0" borderId="1" xfId="0" applyFont="1" applyBorder="1" applyAlignment="1">
      <alignment horizontal="center"/>
    </xf>
    <xf numFmtId="165" fontId="93" fillId="0" borderId="0" xfId="0" applyNumberFormat="1" applyFont="1">
      <alignment horizontal="left" vertical="center" wrapText="1"/>
    </xf>
    <xf numFmtId="165" fontId="88" fillId="7" borderId="1" xfId="0" applyNumberFormat="1" applyFont="1" applyFill="1" applyBorder="1" applyAlignment="1">
      <alignment horizontal="right"/>
    </xf>
    <xf numFmtId="170" fontId="92" fillId="7" borderId="1" xfId="0" applyNumberFormat="1" applyFont="1" applyFill="1" applyBorder="1" applyAlignment="1">
      <alignment horizontal="center"/>
    </xf>
    <xf numFmtId="3" fontId="83" fillId="0" borderId="0" xfId="0" applyFont="1" applyAlignment="1">
      <alignment horizontal="center"/>
    </xf>
    <xf numFmtId="3" fontId="84" fillId="0" borderId="0" xfId="0" applyFont="1" applyAlignment="1">
      <alignment horizontal="left"/>
    </xf>
    <xf numFmtId="3" fontId="84" fillId="0" borderId="0" xfId="0" applyFont="1" applyAlignment="1">
      <alignment wrapText="1"/>
    </xf>
    <xf numFmtId="3" fontId="87" fillId="0" borderId="0" xfId="0" applyFont="1">
      <alignment horizontal="left" vertical="center" wrapText="1"/>
    </xf>
    <xf numFmtId="3" fontId="93" fillId="3" borderId="9" xfId="0" applyFont="1" applyFill="1" applyBorder="1" applyAlignment="1">
      <alignment horizontal="center" vertical="center" wrapText="1"/>
    </xf>
    <xf numFmtId="3" fontId="93" fillId="3" borderId="1" xfId="0" applyFont="1" applyFill="1" applyBorder="1" applyAlignment="1">
      <alignment vertical="top" wrapText="1"/>
    </xf>
    <xf numFmtId="0" fontId="84" fillId="0" borderId="1" xfId="6" applyFont="1">
      <alignment horizontal="left" vertical="center" wrapText="1"/>
    </xf>
    <xf numFmtId="3" fontId="84" fillId="0" borderId="5" xfId="0" applyFont="1" applyBorder="1">
      <alignment horizontal="left" vertical="center" wrapText="1"/>
    </xf>
    <xf numFmtId="3" fontId="84" fillId="0" borderId="2" xfId="0" applyFont="1" applyBorder="1">
      <alignment horizontal="left" vertical="center" wrapText="1"/>
    </xf>
    <xf numFmtId="3" fontId="93" fillId="3" borderId="12" xfId="0" applyFont="1" applyFill="1" applyBorder="1" applyAlignment="1">
      <alignment horizontal="center" vertical="center" wrapText="1"/>
    </xf>
    <xf numFmtId="3" fontId="93" fillId="3" borderId="2" xfId="0" applyFont="1" applyFill="1" applyBorder="1" applyAlignment="1">
      <alignment horizontal="center" vertical="center" wrapText="1"/>
    </xf>
    <xf numFmtId="3" fontId="84" fillId="0" borderId="1" xfId="0" applyFont="1" applyBorder="1" applyAlignment="1">
      <alignment wrapText="1"/>
    </xf>
    <xf numFmtId="3" fontId="84" fillId="0" borderId="8" xfId="0" applyFont="1" applyBorder="1" applyAlignment="1">
      <alignment wrapText="1"/>
    </xf>
    <xf numFmtId="3" fontId="95" fillId="0" borderId="1" xfId="0" applyFont="1" applyBorder="1">
      <alignment horizontal="left" vertical="center" wrapText="1"/>
    </xf>
    <xf numFmtId="3" fontId="90" fillId="0" borderId="0" xfId="0" applyFont="1">
      <alignment horizontal="left" vertical="center" wrapText="1"/>
    </xf>
    <xf numFmtId="3" fontId="95" fillId="0" borderId="0" xfId="0" applyFont="1">
      <alignment horizontal="left" vertical="center" wrapText="1"/>
    </xf>
    <xf numFmtId="14" fontId="95" fillId="0" borderId="0" xfId="0" applyNumberFormat="1" applyFont="1">
      <alignment horizontal="left" vertical="center" wrapText="1"/>
    </xf>
    <xf numFmtId="3" fontId="91" fillId="0" borderId="0" xfId="0" applyFont="1">
      <alignment horizontal="left" vertical="center" wrapText="1"/>
    </xf>
    <xf numFmtId="3" fontId="84" fillId="11" borderId="0" xfId="0" applyFont="1" applyFill="1">
      <alignment horizontal="left" vertical="center" wrapText="1"/>
    </xf>
    <xf numFmtId="3" fontId="96" fillId="0" borderId="18" xfId="0" applyFont="1" applyBorder="1" applyAlignment="1">
      <alignment horizontal="center" vertical="center" wrapText="1"/>
    </xf>
    <xf numFmtId="3" fontId="96" fillId="0" borderId="19" xfId="0" applyFont="1" applyBorder="1" applyAlignment="1">
      <alignment horizontal="center" vertical="center" wrapText="1"/>
    </xf>
    <xf numFmtId="177" fontId="96" fillId="0" borderId="16" xfId="0" applyNumberFormat="1" applyFont="1" applyBorder="1" applyAlignment="1">
      <alignment horizontal="center" vertical="center" wrapText="1"/>
    </xf>
    <xf numFmtId="3" fontId="97" fillId="0" borderId="16" xfId="0" applyFont="1" applyBorder="1" applyAlignment="1">
      <alignment horizontal="center" vertical="center" wrapText="1"/>
    </xf>
    <xf numFmtId="3" fontId="97" fillId="0" borderId="16" xfId="0" applyFont="1" applyBorder="1" applyAlignment="1">
      <alignment horizontal="center" vertical="center"/>
    </xf>
    <xf numFmtId="3" fontId="96" fillId="0" borderId="16" xfId="0" applyFont="1" applyBorder="1" applyAlignment="1">
      <alignment horizontal="center" vertical="center" wrapText="1"/>
    </xf>
    <xf numFmtId="3" fontId="87" fillId="17" borderId="40" xfId="0" applyFont="1" applyFill="1" applyBorder="1">
      <alignment horizontal="left" vertical="center" wrapText="1"/>
    </xf>
    <xf numFmtId="3" fontId="87" fillId="17" borderId="41" xfId="0" applyFont="1" applyFill="1" applyBorder="1">
      <alignment horizontal="left" vertical="center" wrapText="1"/>
    </xf>
    <xf numFmtId="3" fontId="87" fillId="17" borderId="43" xfId="0" applyFont="1" applyFill="1" applyBorder="1">
      <alignment horizontal="left" vertical="center" wrapText="1"/>
    </xf>
    <xf numFmtId="3" fontId="87" fillId="17" borderId="35" xfId="0" applyFont="1" applyFill="1" applyBorder="1">
      <alignment horizontal="left" vertical="center" wrapText="1"/>
    </xf>
    <xf numFmtId="3" fontId="87" fillId="17" borderId="16" xfId="0" applyFont="1" applyFill="1" applyBorder="1">
      <alignment horizontal="left" vertical="center" wrapText="1"/>
    </xf>
    <xf numFmtId="3" fontId="84" fillId="0" borderId="16" xfId="0" applyFont="1" applyBorder="1" applyAlignment="1">
      <alignment horizontal="center" vertical="center"/>
    </xf>
    <xf numFmtId="3" fontId="84" fillId="0" borderId="20" xfId="0" applyFont="1" applyBorder="1">
      <alignment horizontal="left" vertical="center" wrapText="1"/>
    </xf>
    <xf numFmtId="3" fontId="87" fillId="17" borderId="36" xfId="0" applyFont="1" applyFill="1" applyBorder="1">
      <alignment horizontal="left" vertical="center" wrapText="1"/>
    </xf>
    <xf numFmtId="3" fontId="87" fillId="17" borderId="42" xfId="0" applyFont="1" applyFill="1" applyBorder="1">
      <alignment horizontal="left" vertical="center" wrapText="1"/>
    </xf>
    <xf numFmtId="3" fontId="100" fillId="0" borderId="0" xfId="0" applyFont="1">
      <alignment horizontal="left" vertical="center" wrapText="1"/>
    </xf>
    <xf numFmtId="3" fontId="101" fillId="0" borderId="0" xfId="0" applyFont="1" applyAlignment="1">
      <alignment horizontal="center" vertical="center"/>
    </xf>
    <xf numFmtId="0" fontId="83" fillId="0" borderId="1" xfId="0" applyNumberFormat="1" applyFont="1" applyBorder="1">
      <alignment horizontal="left" vertical="center" wrapText="1"/>
    </xf>
    <xf numFmtId="3" fontId="24" fillId="7" borderId="14" xfId="0" applyFont="1" applyFill="1" applyBorder="1" applyAlignment="1">
      <alignment horizontal="center" vertical="center" wrapText="1"/>
    </xf>
    <xf numFmtId="3" fontId="31" fillId="0" borderId="2" xfId="0" applyFont="1" applyBorder="1" applyAlignment="1">
      <alignment horizontal="left" vertical="center"/>
    </xf>
    <xf numFmtId="3" fontId="22" fillId="7" borderId="7" xfId="0" applyFont="1" applyFill="1" applyBorder="1">
      <alignment horizontal="left" vertical="center" wrapText="1"/>
    </xf>
    <xf numFmtId="3" fontId="39" fillId="0" borderId="6" xfId="0" applyFont="1" applyBorder="1">
      <alignment horizontal="left" vertical="center" wrapText="1"/>
    </xf>
    <xf numFmtId="3" fontId="39" fillId="0" borderId="7" xfId="0" applyFont="1" applyBorder="1" applyAlignment="1">
      <alignment horizontal="left" vertical="center"/>
    </xf>
    <xf numFmtId="3" fontId="39" fillId="0" borderId="7" xfId="0" applyFont="1" applyBorder="1" applyAlignment="1">
      <alignment horizontal="left"/>
    </xf>
    <xf numFmtId="0" fontId="5" fillId="0" borderId="1" xfId="0" applyNumberFormat="1" applyFont="1" applyBorder="1" applyAlignment="1"/>
    <xf numFmtId="3" fontId="39" fillId="0" borderId="1" xfId="0" applyFont="1" applyBorder="1" applyAlignment="1">
      <alignment horizontal="left" vertical="top"/>
    </xf>
    <xf numFmtId="3" fontId="31" fillId="0" borderId="5" xfId="0" applyFont="1" applyBorder="1" applyAlignment="1">
      <alignment vertical="center"/>
    </xf>
    <xf numFmtId="3" fontId="39" fillId="0" borderId="1" xfId="0" applyFont="1" applyBorder="1" applyAlignment="1">
      <alignment vertical="top" wrapText="1"/>
    </xf>
    <xf numFmtId="3" fontId="103" fillId="0" borderId="0" xfId="0" applyFont="1">
      <alignment horizontal="left" vertical="center" wrapText="1"/>
    </xf>
    <xf numFmtId="3" fontId="102" fillId="0" borderId="0" xfId="0" applyFont="1">
      <alignment horizontal="left" vertical="center" wrapText="1"/>
    </xf>
    <xf numFmtId="14" fontId="104" fillId="0" borderId="0" xfId="0" applyNumberFormat="1" applyFont="1">
      <alignment horizontal="left" vertical="center" wrapText="1"/>
    </xf>
    <xf numFmtId="3" fontId="105" fillId="7" borderId="7" xfId="0" applyFont="1" applyFill="1" applyBorder="1">
      <alignment horizontal="left" vertical="center" wrapText="1"/>
    </xf>
    <xf numFmtId="14" fontId="106" fillId="7" borderId="5" xfId="0" applyNumberFormat="1" applyFont="1" applyFill="1" applyBorder="1">
      <alignment horizontal="left" vertical="center" wrapText="1"/>
    </xf>
    <xf numFmtId="3" fontId="106" fillId="0" borderId="0" xfId="0" applyFont="1">
      <alignment horizontal="left" vertical="center" wrapText="1"/>
    </xf>
    <xf numFmtId="3" fontId="103" fillId="0" borderId="1" xfId="0" applyFont="1" applyBorder="1">
      <alignment horizontal="left" vertical="center" wrapText="1"/>
    </xf>
    <xf numFmtId="3" fontId="102" fillId="7" borderId="1" xfId="0" applyFont="1" applyFill="1" applyBorder="1">
      <alignment horizontal="left" vertical="center" wrapText="1"/>
    </xf>
    <xf numFmtId="3" fontId="105" fillId="7" borderId="1" xfId="0" applyFont="1" applyFill="1" applyBorder="1">
      <alignment horizontal="left" vertical="center" wrapText="1"/>
    </xf>
    <xf numFmtId="3" fontId="105" fillId="7" borderId="1" xfId="0" applyFont="1" applyFill="1" applyBorder="1" applyAlignment="1">
      <alignment horizontal="center"/>
    </xf>
    <xf numFmtId="20" fontId="103" fillId="0" borderId="1" xfId="0" applyNumberFormat="1" applyFont="1" applyBorder="1">
      <alignment horizontal="left" vertical="center" wrapText="1"/>
    </xf>
    <xf numFmtId="3" fontId="102" fillId="0" borderId="1" xfId="0" applyFont="1" applyBorder="1" applyAlignment="1">
      <alignment horizontal="center"/>
    </xf>
    <xf numFmtId="3" fontId="105" fillId="0" borderId="1" xfId="0" applyFont="1" applyBorder="1" applyAlignment="1">
      <alignment horizontal="center"/>
    </xf>
    <xf numFmtId="20" fontId="106" fillId="0" borderId="1" xfId="0" applyNumberFormat="1" applyFont="1" applyBorder="1">
      <alignment horizontal="left" vertical="center" wrapText="1"/>
    </xf>
    <xf numFmtId="165" fontId="106" fillId="0" borderId="1" xfId="0" applyNumberFormat="1" applyFont="1" applyBorder="1" applyAlignment="1">
      <alignment horizontal="center"/>
    </xf>
    <xf numFmtId="3" fontId="106" fillId="0" borderId="1" xfId="0" applyFont="1" applyBorder="1" applyAlignment="1">
      <alignment horizontal="center"/>
    </xf>
    <xf numFmtId="2" fontId="106" fillId="0" borderId="1" xfId="0" applyNumberFormat="1" applyFont="1" applyBorder="1" applyAlignment="1">
      <alignment horizontal="center"/>
    </xf>
    <xf numFmtId="3" fontId="106" fillId="0" borderId="1" xfId="0" applyFont="1" applyBorder="1">
      <alignment horizontal="left" vertical="center" wrapText="1"/>
    </xf>
    <xf numFmtId="3" fontId="106" fillId="0" borderId="0" xfId="0" applyFont="1" applyAlignment="1">
      <alignment horizontal="left" vertical="center"/>
    </xf>
    <xf numFmtId="3" fontId="102" fillId="0" borderId="1" xfId="0" applyFont="1" applyBorder="1">
      <alignment horizontal="left" vertical="center" wrapText="1"/>
    </xf>
    <xf numFmtId="20" fontId="103" fillId="0" borderId="7" xfId="0" applyNumberFormat="1" applyFont="1" applyBorder="1" applyAlignment="1"/>
    <xf numFmtId="20" fontId="103" fillId="0" borderId="13" xfId="0" applyNumberFormat="1" applyFont="1" applyBorder="1" applyAlignment="1"/>
    <xf numFmtId="1" fontId="102" fillId="7" borderId="1" xfId="0" applyNumberFormat="1" applyFont="1" applyFill="1" applyBorder="1" applyAlignment="1"/>
    <xf numFmtId="3" fontId="107" fillId="7" borderId="1" xfId="0" applyFont="1" applyFill="1" applyBorder="1">
      <alignment horizontal="left" vertical="center" wrapText="1"/>
    </xf>
    <xf numFmtId="3" fontId="103" fillId="6" borderId="1" xfId="0" applyFont="1" applyFill="1" applyBorder="1">
      <alignment horizontal="left" vertical="center" wrapText="1"/>
    </xf>
    <xf numFmtId="3" fontId="103" fillId="9" borderId="1" xfId="0" applyFont="1" applyFill="1" applyBorder="1">
      <alignment horizontal="left" vertical="center" wrapText="1"/>
    </xf>
    <xf numFmtId="170" fontId="103" fillId="0" borderId="1" xfId="0" applyNumberFormat="1" applyFont="1" applyBorder="1">
      <alignment horizontal="left" vertical="center" wrapText="1"/>
    </xf>
    <xf numFmtId="0" fontId="108" fillId="0" borderId="0" xfId="6" applyFont="1" applyBorder="1">
      <alignment horizontal="left" vertical="center" wrapText="1"/>
    </xf>
    <xf numFmtId="3" fontId="106" fillId="0" borderId="1" xfId="0" applyFont="1" applyBorder="1" applyAlignment="1">
      <alignment horizontal="center" vertical="center"/>
    </xf>
    <xf numFmtId="2" fontId="106" fillId="0" borderId="1" xfId="0" applyNumberFormat="1" applyFont="1" applyBorder="1" applyAlignment="1">
      <alignment horizontal="center" vertical="center"/>
    </xf>
    <xf numFmtId="3" fontId="102" fillId="7" borderId="0" xfId="0" applyFont="1" applyFill="1" applyAlignment="1">
      <alignment horizontal="right" vertical="center"/>
    </xf>
    <xf numFmtId="0" fontId="108" fillId="0" borderId="1" xfId="6" applyFont="1">
      <alignment horizontal="left" vertical="center" wrapText="1"/>
    </xf>
    <xf numFmtId="3" fontId="105" fillId="0" borderId="11" xfId="0" applyFont="1" applyBorder="1" applyAlignment="1">
      <alignment horizontal="center"/>
    </xf>
    <xf numFmtId="3" fontId="102" fillId="7" borderId="1" xfId="0" applyFont="1" applyFill="1" applyBorder="1" applyAlignment="1">
      <alignment horizontal="right" vertical="center" wrapText="1"/>
    </xf>
    <xf numFmtId="3" fontId="103" fillId="0" borderId="13" xfId="0" applyFont="1" applyBorder="1">
      <alignment horizontal="left" vertical="center" wrapText="1"/>
    </xf>
    <xf numFmtId="3" fontId="109" fillId="0" borderId="13" xfId="0" applyFont="1" applyBorder="1">
      <alignment horizontal="left" vertical="center" wrapText="1"/>
    </xf>
    <xf numFmtId="3" fontId="110" fillId="0" borderId="13" xfId="0" applyFont="1" applyBorder="1">
      <alignment horizontal="left" vertical="center" wrapText="1"/>
    </xf>
    <xf numFmtId="3" fontId="102" fillId="7" borderId="0" xfId="0" applyFont="1" applyFill="1" applyAlignment="1">
      <alignment horizontal="right" vertical="center" wrapText="1"/>
    </xf>
    <xf numFmtId="3" fontId="102" fillId="7" borderId="1" xfId="0" applyFont="1" applyFill="1" applyBorder="1" applyAlignment="1">
      <alignment horizontal="center"/>
    </xf>
    <xf numFmtId="3" fontId="103" fillId="7" borderId="1" xfId="0" applyFont="1" applyFill="1" applyBorder="1">
      <alignment horizontal="left" vertical="center" wrapText="1"/>
    </xf>
    <xf numFmtId="14" fontId="103" fillId="0" borderId="1" xfId="0" applyNumberFormat="1" applyFont="1" applyBorder="1">
      <alignment horizontal="left" vertical="center" wrapText="1"/>
    </xf>
    <xf numFmtId="3" fontId="107" fillId="0" borderId="1" xfId="0" applyFont="1" applyBorder="1" applyAlignment="1">
      <alignment horizontal="center"/>
    </xf>
    <xf numFmtId="3" fontId="103" fillId="0" borderId="3" xfId="0" applyFont="1" applyBorder="1">
      <alignment horizontal="left" vertical="center" wrapText="1"/>
    </xf>
    <xf numFmtId="3" fontId="103" fillId="8" borderId="1" xfId="0" applyFont="1" applyFill="1" applyBorder="1">
      <alignment horizontal="left" vertical="center" wrapText="1"/>
    </xf>
    <xf numFmtId="20" fontId="103" fillId="0" borderId="1" xfId="0" applyNumberFormat="1" applyFont="1" applyBorder="1" applyAlignment="1">
      <alignment horizontal="left"/>
    </xf>
    <xf numFmtId="3" fontId="103" fillId="0" borderId="1" xfId="0" applyFont="1" applyBorder="1" applyAlignment="1">
      <alignment horizontal="left"/>
    </xf>
    <xf numFmtId="3" fontId="114" fillId="0" borderId="1" xfId="0" applyFont="1" applyBorder="1" applyAlignment="1">
      <alignment horizontal="center" vertical="center" wrapText="1"/>
    </xf>
    <xf numFmtId="3" fontId="116" fillId="0" borderId="1" xfId="0" applyFont="1" applyBorder="1" applyAlignment="1">
      <alignment horizontal="left"/>
    </xf>
    <xf numFmtId="3" fontId="103" fillId="8" borderId="1" xfId="0" applyFont="1" applyFill="1" applyBorder="1" applyAlignment="1">
      <alignment horizontal="left" vertical="top" wrapText="1"/>
    </xf>
    <xf numFmtId="3" fontId="103" fillId="0" borderId="1" xfId="0" applyFont="1" applyBorder="1" applyAlignment="1">
      <alignment vertical="top" wrapText="1"/>
    </xf>
    <xf numFmtId="3" fontId="103" fillId="0" borderId="1" xfId="0" applyFont="1" applyBorder="1" applyAlignment="1">
      <alignment horizontal="center" vertical="top" wrapText="1"/>
    </xf>
    <xf numFmtId="3" fontId="115" fillId="0" borderId="1" xfId="0" applyFont="1" applyBorder="1">
      <alignment horizontal="left" vertical="center" wrapText="1"/>
    </xf>
    <xf numFmtId="3" fontId="103" fillId="8" borderId="2" xfId="0" applyFont="1" applyFill="1" applyBorder="1" applyAlignment="1">
      <alignment horizontal="right" vertical="top" wrapText="1"/>
    </xf>
    <xf numFmtId="3" fontId="102" fillId="0" borderId="2" xfId="0" applyFont="1" applyBorder="1" applyAlignment="1">
      <alignment horizontal="center" vertical="top" wrapText="1"/>
    </xf>
    <xf numFmtId="3" fontId="103" fillId="0" borderId="0" xfId="0" applyFont="1" applyAlignment="1">
      <alignment horizontal="center" vertical="top" wrapText="1"/>
    </xf>
    <xf numFmtId="3" fontId="102" fillId="7" borderId="2" xfId="0" applyFont="1" applyFill="1" applyBorder="1">
      <alignment horizontal="left" vertical="center" wrapText="1"/>
    </xf>
    <xf numFmtId="3" fontId="103" fillId="0" borderId="7" xfId="0" applyFont="1" applyBorder="1">
      <alignment horizontal="left" vertical="center" wrapText="1"/>
    </xf>
    <xf numFmtId="3" fontId="102" fillId="0" borderId="1" xfId="0" applyFont="1" applyBorder="1" applyAlignment="1">
      <alignment horizontal="center" vertical="center" wrapText="1"/>
    </xf>
    <xf numFmtId="2" fontId="103" fillId="0" borderId="1" xfId="0" applyNumberFormat="1" applyFont="1" applyBorder="1">
      <alignment horizontal="left" vertical="center" wrapText="1"/>
    </xf>
    <xf numFmtId="3" fontId="103" fillId="0" borderId="1" xfId="0" applyFont="1" applyBorder="1" applyAlignment="1">
      <alignment horizontal="center" vertical="center" wrapText="1"/>
    </xf>
    <xf numFmtId="14" fontId="103" fillId="0" borderId="0" xfId="0" applyNumberFormat="1" applyFont="1">
      <alignment horizontal="left" vertical="center" wrapText="1"/>
    </xf>
    <xf numFmtId="3" fontId="102" fillId="7" borderId="5" xfId="0" applyFont="1" applyFill="1" applyBorder="1">
      <alignment horizontal="left" vertical="center" wrapText="1"/>
    </xf>
    <xf numFmtId="3" fontId="103" fillId="0" borderId="1" xfId="0" applyFont="1" applyBorder="1" applyAlignment="1">
      <alignment horizontal="center"/>
    </xf>
    <xf numFmtId="3" fontId="103" fillId="6" borderId="5" xfId="0" applyFont="1" applyFill="1" applyBorder="1">
      <alignment horizontal="left" vertical="center" wrapText="1"/>
    </xf>
    <xf numFmtId="3" fontId="103" fillId="0" borderId="0" xfId="0" applyFont="1" applyAlignment="1">
      <alignment horizontal="center"/>
    </xf>
    <xf numFmtId="3" fontId="102" fillId="0" borderId="0" xfId="0" applyFont="1" applyAlignment="1">
      <alignment horizontal="center"/>
    </xf>
    <xf numFmtId="3" fontId="102" fillId="0" borderId="0" xfId="0" applyFont="1" applyAlignment="1"/>
    <xf numFmtId="3" fontId="103" fillId="0" borderId="0" xfId="0" applyFont="1" applyAlignment="1">
      <alignment vertical="center"/>
    </xf>
    <xf numFmtId="3" fontId="117" fillId="0" borderId="1" xfId="0" applyFont="1" applyBorder="1">
      <alignment horizontal="left" vertical="center" wrapText="1"/>
    </xf>
    <xf numFmtId="3" fontId="118" fillId="0" borderId="0" xfId="0" applyFont="1">
      <alignment horizontal="left" vertical="center" wrapText="1"/>
    </xf>
    <xf numFmtId="3" fontId="117" fillId="0" borderId="1" xfId="0" applyFont="1" applyBorder="1" applyAlignment="1">
      <alignment vertical="center"/>
    </xf>
    <xf numFmtId="3" fontId="117" fillId="7" borderId="1" xfId="0" applyFont="1" applyFill="1" applyBorder="1">
      <alignment horizontal="left" vertical="center" wrapText="1"/>
    </xf>
    <xf numFmtId="3" fontId="119" fillId="9" borderId="1" xfId="0" applyFont="1" applyFill="1" applyBorder="1">
      <alignment horizontal="left" vertical="center" wrapText="1"/>
    </xf>
    <xf numFmtId="3" fontId="118" fillId="0" borderId="1" xfId="0" applyFont="1" applyBorder="1">
      <alignment horizontal="left" vertical="center" wrapText="1"/>
    </xf>
    <xf numFmtId="3" fontId="117" fillId="7" borderId="1" xfId="0" applyFont="1" applyFill="1" applyBorder="1" applyAlignment="1">
      <alignment horizontal="right" vertical="center" wrapText="1"/>
    </xf>
    <xf numFmtId="9" fontId="118" fillId="0" borderId="1" xfId="5" applyFont="1" applyBorder="1" applyAlignment="1">
      <alignment horizontal="left" vertical="center" wrapText="1"/>
    </xf>
    <xf numFmtId="3" fontId="120" fillId="0" borderId="1" xfId="0" applyFont="1" applyBorder="1" applyAlignment="1">
      <alignment horizontal="left" vertical="center"/>
    </xf>
    <xf numFmtId="3" fontId="119" fillId="9" borderId="1" xfId="0" applyFont="1" applyFill="1" applyBorder="1" applyAlignment="1">
      <alignment horizontal="left" vertical="center"/>
    </xf>
    <xf numFmtId="3" fontId="119" fillId="0" borderId="1" xfId="0" applyFont="1" applyBorder="1">
      <alignment horizontal="left" vertical="center" wrapText="1"/>
    </xf>
    <xf numFmtId="170" fontId="118" fillId="0" borderId="1" xfId="0" applyNumberFormat="1" applyFont="1" applyBorder="1">
      <alignment horizontal="left" vertical="center" wrapText="1"/>
    </xf>
    <xf numFmtId="9" fontId="120" fillId="0" borderId="1" xfId="5" applyFont="1" applyBorder="1" applyAlignment="1">
      <alignment horizontal="left" vertical="center"/>
    </xf>
    <xf numFmtId="164" fontId="118" fillId="0" borderId="1" xfId="5" applyNumberFormat="1" applyFont="1" applyBorder="1" applyAlignment="1">
      <alignment horizontal="left" vertical="center" wrapText="1"/>
    </xf>
    <xf numFmtId="4" fontId="118" fillId="0" borderId="1" xfId="0" applyNumberFormat="1" applyFont="1" applyBorder="1">
      <alignment horizontal="left" vertical="center" wrapText="1"/>
    </xf>
    <xf numFmtId="3" fontId="121" fillId="7" borderId="1" xfId="0" applyFont="1" applyFill="1" applyBorder="1">
      <alignment horizontal="left" vertical="center" wrapText="1"/>
    </xf>
    <xf numFmtId="3" fontId="118" fillId="7" borderId="1" xfId="0" applyFont="1" applyFill="1" applyBorder="1">
      <alignment horizontal="left" vertical="center" wrapText="1"/>
    </xf>
    <xf numFmtId="164" fontId="122" fillId="7" borderId="1" xfId="0" applyNumberFormat="1" applyFont="1" applyFill="1" applyBorder="1">
      <alignment horizontal="left" vertical="center" wrapText="1"/>
    </xf>
    <xf numFmtId="164" fontId="121" fillId="7" borderId="1" xfId="0" applyNumberFormat="1" applyFont="1" applyFill="1" applyBorder="1">
      <alignment horizontal="left" vertical="center" wrapText="1"/>
    </xf>
    <xf numFmtId="3" fontId="118" fillId="0" borderId="8" xfId="0" applyFont="1" applyBorder="1">
      <alignment horizontal="left" vertical="center" wrapText="1"/>
    </xf>
    <xf numFmtId="3" fontId="119" fillId="7" borderId="7" xfId="0" applyFont="1" applyFill="1" applyBorder="1" applyAlignment="1"/>
    <xf numFmtId="3" fontId="119" fillId="7" borderId="13" xfId="0" applyFont="1" applyFill="1" applyBorder="1" applyAlignment="1"/>
    <xf numFmtId="3" fontId="119" fillId="7" borderId="5" xfId="0" applyFont="1" applyFill="1" applyBorder="1" applyAlignment="1"/>
    <xf numFmtId="3" fontId="119" fillId="0" borderId="1" xfId="0" applyFont="1" applyBorder="1" applyAlignment="1"/>
    <xf numFmtId="3" fontId="117" fillId="0" borderId="1" xfId="0" applyFont="1" applyBorder="1" applyAlignment="1">
      <alignment vertical="top" wrapText="1"/>
    </xf>
    <xf numFmtId="14" fontId="117" fillId="0" borderId="1" xfId="0" applyNumberFormat="1" applyFont="1" applyBorder="1" applyAlignment="1">
      <alignment vertical="top" wrapText="1"/>
    </xf>
    <xf numFmtId="1" fontId="119" fillId="0" borderId="1" xfId="0" applyNumberFormat="1" applyFont="1" applyBorder="1" applyAlignment="1">
      <alignment vertical="top" wrapText="1"/>
    </xf>
    <xf numFmtId="3" fontId="119" fillId="0" borderId="1" xfId="0" applyFont="1" applyBorder="1" applyAlignment="1">
      <alignment vertical="top" wrapText="1"/>
    </xf>
    <xf numFmtId="3" fontId="118" fillId="0" borderId="1" xfId="0" applyFont="1" applyBorder="1" applyAlignment="1">
      <alignment vertical="top" wrapText="1"/>
    </xf>
    <xf numFmtId="177" fontId="117" fillId="0" borderId="1" xfId="0" applyNumberFormat="1" applyFont="1" applyBorder="1" applyAlignment="1">
      <alignment vertical="top" wrapText="1"/>
    </xf>
    <xf numFmtId="1" fontId="117" fillId="0" borderId="1" xfId="0" applyNumberFormat="1" applyFont="1" applyBorder="1" applyAlignment="1">
      <alignment vertical="top" wrapText="1"/>
    </xf>
    <xf numFmtId="177" fontId="118" fillId="0" borderId="1" xfId="0" applyNumberFormat="1" applyFont="1" applyBorder="1" applyAlignment="1">
      <alignment vertical="top" wrapText="1"/>
    </xf>
    <xf numFmtId="3" fontId="123" fillId="6" borderId="1" xfId="0" applyFont="1" applyFill="1" applyBorder="1" applyAlignment="1">
      <alignment vertical="center" wrapText="1"/>
    </xf>
    <xf numFmtId="3" fontId="119" fillId="9" borderId="1" xfId="0" applyFont="1" applyFill="1" applyBorder="1" applyAlignment="1">
      <alignment horizontal="left" wrapText="1"/>
    </xf>
    <xf numFmtId="3" fontId="118" fillId="9" borderId="1" xfId="0" applyFont="1" applyFill="1" applyBorder="1">
      <alignment horizontal="left" vertical="center" wrapText="1"/>
    </xf>
    <xf numFmtId="177" fontId="119" fillId="0" borderId="13" xfId="0" applyNumberFormat="1" applyFont="1" applyBorder="1" applyAlignment="1">
      <alignment vertical="top"/>
    </xf>
    <xf numFmtId="177" fontId="119" fillId="0" borderId="5" xfId="0" applyNumberFormat="1" applyFont="1" applyBorder="1" applyAlignment="1">
      <alignment vertical="top"/>
    </xf>
    <xf numFmtId="177" fontId="119" fillId="0" borderId="1" xfId="0" applyNumberFormat="1" applyFont="1" applyBorder="1" applyAlignment="1">
      <alignment vertical="top" wrapText="1"/>
    </xf>
    <xf numFmtId="9" fontId="118" fillId="0" borderId="0" xfId="5" applyFont="1" applyAlignment="1">
      <alignment horizontal="left" vertical="center" wrapText="1"/>
    </xf>
    <xf numFmtId="177" fontId="119" fillId="7" borderId="7" xfId="0" applyNumberFormat="1" applyFont="1" applyFill="1" applyBorder="1" applyAlignment="1">
      <alignment vertical="top"/>
    </xf>
    <xf numFmtId="177" fontId="117" fillId="7" borderId="1" xfId="0" applyNumberFormat="1" applyFont="1" applyFill="1" applyBorder="1" applyAlignment="1">
      <alignment vertical="top" wrapText="1"/>
    </xf>
    <xf numFmtId="177" fontId="119" fillId="7" borderId="1" xfId="0" applyNumberFormat="1" applyFont="1" applyFill="1" applyBorder="1" applyAlignment="1">
      <alignment vertical="top"/>
    </xf>
    <xf numFmtId="177" fontId="119" fillId="0" borderId="1" xfId="0" applyNumberFormat="1" applyFont="1" applyBorder="1" applyAlignment="1">
      <alignment vertical="top"/>
    </xf>
    <xf numFmtId="3" fontId="118" fillId="7" borderId="1" xfId="0" applyFont="1" applyFill="1" applyBorder="1" applyAlignment="1">
      <alignment vertical="top" wrapText="1"/>
    </xf>
    <xf numFmtId="1" fontId="117" fillId="7" borderId="1" xfId="0" applyNumberFormat="1" applyFont="1" applyFill="1" applyBorder="1" applyAlignment="1">
      <alignment vertical="top" wrapText="1"/>
    </xf>
    <xf numFmtId="177" fontId="119" fillId="7" borderId="1" xfId="0" applyNumberFormat="1" applyFont="1" applyFill="1" applyBorder="1" applyAlignment="1">
      <alignment vertical="top" wrapText="1"/>
    </xf>
    <xf numFmtId="3" fontId="118" fillId="0" borderId="1" xfId="0" applyFont="1" applyBorder="1" applyAlignment="1">
      <alignment vertical="center" wrapText="1"/>
    </xf>
    <xf numFmtId="3" fontId="118" fillId="0" borderId="0" xfId="0" applyFont="1" applyAlignment="1">
      <alignment vertical="top" wrapText="1"/>
    </xf>
    <xf numFmtId="3" fontId="118" fillId="0" borderId="7" xfId="0" applyFont="1" applyBorder="1" applyAlignment="1">
      <alignment vertical="top" wrapText="1"/>
    </xf>
    <xf numFmtId="177" fontId="119" fillId="7" borderId="13" xfId="0" applyNumberFormat="1" applyFont="1" applyFill="1" applyBorder="1" applyAlignment="1">
      <alignment vertical="top"/>
    </xf>
    <xf numFmtId="177" fontId="119" fillId="7" borderId="5" xfId="0" applyNumberFormat="1" applyFont="1" applyFill="1" applyBorder="1" applyAlignment="1">
      <alignment vertical="top"/>
    </xf>
    <xf numFmtId="177" fontId="119" fillId="0" borderId="8" xfId="0" applyNumberFormat="1" applyFont="1" applyBorder="1" applyAlignment="1">
      <alignment vertical="top" wrapText="1"/>
    </xf>
    <xf numFmtId="0" fontId="117" fillId="0" borderId="1" xfId="0" applyNumberFormat="1" applyFont="1" applyBorder="1" applyAlignment="1">
      <alignment vertical="top" wrapText="1"/>
    </xf>
    <xf numFmtId="177" fontId="117" fillId="0" borderId="7" xfId="0" applyNumberFormat="1" applyFont="1" applyBorder="1" applyAlignment="1">
      <alignment vertical="top" wrapText="1"/>
    </xf>
    <xf numFmtId="3" fontId="118" fillId="0" borderId="11" xfId="0" applyFont="1" applyBorder="1" applyAlignment="1">
      <alignment vertical="top" wrapText="1"/>
    </xf>
    <xf numFmtId="3" fontId="124" fillId="0" borderId="1" xfId="0" applyFont="1" applyBorder="1" applyAlignment="1">
      <alignment vertical="top" wrapText="1"/>
    </xf>
    <xf numFmtId="3" fontId="118" fillId="0" borderId="13" xfId="0" applyFont="1" applyBorder="1" applyAlignment="1">
      <alignment vertical="top" wrapText="1"/>
    </xf>
    <xf numFmtId="3" fontId="118" fillId="0" borderId="5" xfId="0" applyFont="1" applyBorder="1" applyAlignment="1">
      <alignment vertical="top" wrapText="1"/>
    </xf>
    <xf numFmtId="3" fontId="125" fillId="0" borderId="0" xfId="0" applyFont="1">
      <alignment horizontal="left" vertical="center" wrapText="1"/>
    </xf>
    <xf numFmtId="3" fontId="126" fillId="0" borderId="0" xfId="0" applyFont="1">
      <alignment horizontal="left" vertical="center" wrapText="1"/>
    </xf>
    <xf numFmtId="3" fontId="127" fillId="0" borderId="0" xfId="0" applyFont="1">
      <alignment horizontal="left" vertical="center" wrapText="1"/>
    </xf>
    <xf numFmtId="0" fontId="125" fillId="0" borderId="0" xfId="0" applyNumberFormat="1" applyFont="1" applyAlignment="1"/>
    <xf numFmtId="0" fontId="125" fillId="0" borderId="1" xfId="0" applyNumberFormat="1" applyFont="1" applyBorder="1" applyAlignment="1"/>
    <xf numFmtId="0" fontId="125" fillId="0" borderId="0" xfId="0" applyNumberFormat="1" applyFont="1" applyAlignment="1">
      <alignment horizontal="center" vertical="center" wrapText="1"/>
    </xf>
    <xf numFmtId="3" fontId="125" fillId="0" borderId="1" xfId="0" applyFont="1" applyBorder="1">
      <alignment horizontal="left" vertical="center" wrapText="1"/>
    </xf>
    <xf numFmtId="3" fontId="125" fillId="0" borderId="14" xfId="0" applyFont="1" applyBorder="1">
      <alignment horizontal="left" vertical="center" wrapText="1"/>
    </xf>
    <xf numFmtId="3" fontId="126" fillId="7" borderId="1" xfId="0" applyFont="1" applyFill="1" applyBorder="1">
      <alignment horizontal="left" vertical="center" wrapText="1"/>
    </xf>
    <xf numFmtId="3" fontId="126" fillId="7" borderId="1" xfId="0" applyFont="1" applyFill="1" applyBorder="1" applyAlignment="1">
      <alignment horizontal="center"/>
    </xf>
    <xf numFmtId="3" fontId="125" fillId="7" borderId="1" xfId="0" applyFont="1" applyFill="1" applyBorder="1">
      <alignment horizontal="left" vertical="center" wrapText="1"/>
    </xf>
    <xf numFmtId="3" fontId="125" fillId="7" borderId="1" xfId="0" applyFont="1" applyFill="1" applyBorder="1" applyAlignment="1">
      <alignment horizontal="left"/>
    </xf>
    <xf numFmtId="0" fontId="125" fillId="7" borderId="1" xfId="0" applyNumberFormat="1" applyFont="1" applyFill="1" applyBorder="1" applyAlignment="1"/>
    <xf numFmtId="0" fontId="127" fillId="7" borderId="1" xfId="0" applyNumberFormat="1" applyFont="1" applyFill="1" applyBorder="1" applyAlignment="1"/>
    <xf numFmtId="3" fontId="125" fillId="0" borderId="7" xfId="0" applyFont="1" applyBorder="1">
      <alignment horizontal="left" vertical="center" wrapText="1"/>
    </xf>
    <xf numFmtId="3" fontId="125" fillId="0" borderId="1" xfId="0" applyFont="1" applyBorder="1" applyAlignment="1">
      <alignment horizontal="center" vertical="center" wrapText="1"/>
    </xf>
    <xf numFmtId="182" fontId="125" fillId="0" borderId="1" xfId="0" applyNumberFormat="1" applyFont="1" applyBorder="1" applyAlignment="1">
      <alignment horizontal="center" vertical="center" wrapText="1"/>
    </xf>
    <xf numFmtId="3" fontId="126" fillId="0" borderId="1" xfId="0" applyFont="1" applyBorder="1" applyAlignment="1">
      <alignment horizontal="center"/>
    </xf>
    <xf numFmtId="174" fontId="127" fillId="0" borderId="1" xfId="0" applyNumberFormat="1" applyFont="1" applyBorder="1">
      <alignment horizontal="left" vertical="center" wrapText="1"/>
    </xf>
    <xf numFmtId="170" fontId="127" fillId="0" borderId="1" xfId="0" applyNumberFormat="1" applyFont="1" applyBorder="1" applyAlignment="1">
      <alignment horizontal="center"/>
    </xf>
    <xf numFmtId="170" fontId="127" fillId="0" borderId="1" xfId="0" applyNumberFormat="1" applyFont="1" applyBorder="1" applyAlignment="1">
      <alignment horizontal="center" vertical="center"/>
    </xf>
    <xf numFmtId="4" fontId="127" fillId="0" borderId="1" xfId="0" applyNumberFormat="1" applyFont="1" applyBorder="1" applyAlignment="1">
      <alignment horizontal="center" vertical="center"/>
    </xf>
    <xf numFmtId="170" fontId="127" fillId="6" borderId="1" xfId="0" applyNumberFormat="1" applyFont="1" applyFill="1" applyBorder="1">
      <alignment horizontal="left" vertical="center" wrapText="1"/>
    </xf>
    <xf numFmtId="170" fontId="127" fillId="0" borderId="1" xfId="0" applyNumberFormat="1" applyFont="1" applyBorder="1">
      <alignment horizontal="left" vertical="center" wrapText="1"/>
    </xf>
    <xf numFmtId="3" fontId="128" fillId="0" borderId="1" xfId="0" applyFont="1" applyBorder="1" applyAlignment="1">
      <alignment horizontal="left"/>
    </xf>
    <xf numFmtId="0" fontId="125" fillId="7" borderId="1" xfId="0" applyNumberFormat="1" applyFont="1" applyFill="1" applyBorder="1" applyAlignment="1">
      <alignment horizontal="center"/>
    </xf>
    <xf numFmtId="4" fontId="125" fillId="0" borderId="0" xfId="0" applyNumberFormat="1" applyFont="1">
      <alignment horizontal="left" vertical="center" wrapText="1"/>
    </xf>
    <xf numFmtId="0" fontId="129" fillId="7" borderId="1" xfId="0" applyNumberFormat="1" applyFont="1" applyFill="1" applyBorder="1" applyAlignment="1"/>
    <xf numFmtId="4" fontId="125" fillId="0" borderId="1" xfId="0" applyNumberFormat="1" applyFont="1" applyBorder="1" applyAlignment="1">
      <alignment horizontal="center" vertical="center" wrapText="1"/>
    </xf>
    <xf numFmtId="182" fontId="125" fillId="0" borderId="1" xfId="0" applyNumberFormat="1" applyFont="1" applyBorder="1" applyAlignment="1">
      <alignment horizontal="center" wrapText="1"/>
    </xf>
    <xf numFmtId="3" fontId="127" fillId="0" borderId="1" xfId="0" applyFont="1" applyBorder="1">
      <alignment horizontal="left" vertical="center" wrapText="1"/>
    </xf>
    <xf numFmtId="170" fontId="127" fillId="0" borderId="0" xfId="0" applyNumberFormat="1" applyFont="1">
      <alignment horizontal="left" vertical="center" wrapText="1"/>
    </xf>
    <xf numFmtId="0" fontId="125" fillId="0" borderId="7" xfId="0" applyNumberFormat="1" applyFont="1" applyBorder="1" applyAlignment="1"/>
    <xf numFmtId="0" fontId="125" fillId="0" borderId="1" xfId="0" applyNumberFormat="1" applyFont="1" applyBorder="1" applyAlignment="1">
      <alignment horizontal="center" vertical="center"/>
    </xf>
    <xf numFmtId="181" fontId="125" fillId="0" borderId="1" xfId="0" applyNumberFormat="1" applyFont="1" applyBorder="1" applyAlignment="1">
      <alignment horizontal="center" vertical="center"/>
    </xf>
    <xf numFmtId="2" fontId="125" fillId="0" borderId="1" xfId="0" applyNumberFormat="1" applyFont="1" applyBorder="1" applyAlignment="1">
      <alignment horizontal="center" vertical="center"/>
    </xf>
    <xf numFmtId="4" fontId="130" fillId="0" borderId="0" xfId="8" applyNumberFormat="1" applyFont="1" applyFill="1" applyAlignment="1">
      <alignment horizontal="left" vertical="center" wrapText="1"/>
    </xf>
    <xf numFmtId="0" fontId="125" fillId="0" borderId="0" xfId="0" applyNumberFormat="1" applyFont="1">
      <alignment horizontal="left" vertical="center" wrapText="1"/>
    </xf>
    <xf numFmtId="178" fontId="125" fillId="0" borderId="0" xfId="0" applyNumberFormat="1" applyFont="1">
      <alignment horizontal="left" vertical="center" wrapText="1"/>
    </xf>
    <xf numFmtId="4" fontId="127" fillId="0" borderId="0" xfId="0" applyNumberFormat="1" applyFont="1">
      <alignment horizontal="left" vertical="center" wrapText="1"/>
    </xf>
    <xf numFmtId="179" fontId="125" fillId="0" borderId="1" xfId="0" applyNumberFormat="1" applyFont="1" applyBorder="1" applyAlignment="1">
      <alignment horizontal="center" vertical="center"/>
    </xf>
    <xf numFmtId="2" fontId="125" fillId="0" borderId="1" xfId="0" applyNumberFormat="1" applyFont="1" applyBorder="1" applyAlignment="1">
      <alignment horizontal="center" vertical="center" wrapText="1"/>
    </xf>
    <xf numFmtId="3" fontId="126" fillId="0" borderId="5" xfId="0" applyFont="1" applyBorder="1" applyAlignment="1">
      <alignment horizontal="center"/>
    </xf>
    <xf numFmtId="9" fontId="125" fillId="0" borderId="1" xfId="5" applyFont="1" applyBorder="1" applyAlignment="1">
      <alignment horizontal="left"/>
    </xf>
    <xf numFmtId="178" fontId="125" fillId="0" borderId="1" xfId="0" applyNumberFormat="1" applyFont="1" applyBorder="1" applyAlignment="1">
      <alignment horizontal="center" vertical="center" wrapText="1"/>
    </xf>
    <xf numFmtId="185" fontId="125" fillId="0" borderId="1" xfId="0" applyNumberFormat="1" applyFont="1" applyBorder="1" applyAlignment="1">
      <alignment horizontal="center" vertical="center" wrapText="1"/>
    </xf>
    <xf numFmtId="184" fontId="125" fillId="0" borderId="1" xfId="0" applyNumberFormat="1" applyFont="1" applyBorder="1">
      <alignment horizontal="left" vertical="center" wrapText="1"/>
    </xf>
    <xf numFmtId="170" fontId="125" fillId="0" borderId="1" xfId="0" applyNumberFormat="1" applyFont="1" applyBorder="1" applyAlignment="1">
      <alignment horizontal="center" vertical="center" wrapText="1"/>
    </xf>
    <xf numFmtId="170" fontId="127" fillId="0" borderId="10" xfId="0" applyNumberFormat="1" applyFont="1" applyBorder="1" applyAlignment="1">
      <alignment horizontal="center"/>
    </xf>
    <xf numFmtId="178" fontId="125" fillId="0" borderId="1" xfId="0" applyNumberFormat="1" applyFont="1" applyBorder="1" applyAlignment="1">
      <alignment horizontal="center" vertical="center"/>
    </xf>
    <xf numFmtId="3" fontId="125" fillId="7" borderId="1" xfId="0" applyFont="1" applyFill="1" applyBorder="1" applyAlignment="1">
      <alignment horizontal="center" vertical="center" wrapText="1"/>
    </xf>
    <xf numFmtId="20" fontId="127" fillId="0" borderId="1" xfId="0" applyNumberFormat="1" applyFont="1" applyBorder="1">
      <alignment horizontal="left" vertical="center" wrapText="1"/>
    </xf>
    <xf numFmtId="3" fontId="129" fillId="0" borderId="0" xfId="0" applyFont="1">
      <alignment horizontal="left" vertical="center" wrapText="1"/>
    </xf>
    <xf numFmtId="0" fontId="132" fillId="7" borderId="1" xfId="0" applyNumberFormat="1" applyFont="1" applyFill="1" applyBorder="1" applyAlignment="1"/>
    <xf numFmtId="9" fontId="125" fillId="0" borderId="1" xfId="5" applyFont="1" applyBorder="1" applyAlignment="1">
      <alignment horizontal="center" vertical="center" wrapText="1"/>
    </xf>
    <xf numFmtId="183" fontId="125" fillId="0" borderId="1" xfId="5" applyNumberFormat="1" applyFont="1" applyBorder="1" applyAlignment="1">
      <alignment horizontal="center" vertical="center" wrapText="1"/>
    </xf>
    <xf numFmtId="0" fontId="125" fillId="7" borderId="7" xfId="0" applyNumberFormat="1" applyFont="1" applyFill="1" applyBorder="1" applyAlignment="1">
      <alignment vertical="center"/>
    </xf>
    <xf numFmtId="3" fontId="129" fillId="7" borderId="1" xfId="0" applyFont="1" applyFill="1" applyBorder="1">
      <alignment horizontal="left" vertical="center" wrapText="1"/>
    </xf>
    <xf numFmtId="3" fontId="131" fillId="7" borderId="1" xfId="0" applyFont="1" applyFill="1" applyBorder="1">
      <alignment horizontal="left" vertical="center" wrapText="1"/>
    </xf>
    <xf numFmtId="3" fontId="129" fillId="7" borderId="8" xfId="0" applyFont="1" applyFill="1" applyBorder="1" applyAlignment="1">
      <alignment vertical="center" wrapText="1"/>
    </xf>
    <xf numFmtId="170" fontId="127" fillId="0" borderId="1" xfId="0" applyNumberFormat="1" applyFont="1" applyBorder="1" applyAlignment="1">
      <alignment horizontal="center" vertical="center" wrapText="1"/>
    </xf>
    <xf numFmtId="4" fontId="127" fillId="0" borderId="1" xfId="0" applyNumberFormat="1" applyFont="1" applyBorder="1" applyAlignment="1">
      <alignment horizontal="center" vertical="center" wrapText="1"/>
    </xf>
    <xf numFmtId="0" fontId="125" fillId="0" borderId="7" xfId="0" applyNumberFormat="1" applyFont="1" applyBorder="1" applyAlignment="1">
      <alignment horizontal="center" vertical="center"/>
    </xf>
    <xf numFmtId="3" fontId="126" fillId="0" borderId="5" xfId="0" applyFont="1" applyBorder="1" applyAlignment="1">
      <alignment horizontal="center" vertical="center" wrapText="1"/>
    </xf>
    <xf numFmtId="170" fontId="126" fillId="0" borderId="1" xfId="0" applyNumberFormat="1" applyFont="1" applyBorder="1" applyAlignment="1">
      <alignment horizontal="center" vertical="center"/>
    </xf>
    <xf numFmtId="170" fontId="126" fillId="0" borderId="1" xfId="0" applyNumberFormat="1" applyFont="1" applyBorder="1" applyAlignment="1">
      <alignment horizontal="center"/>
    </xf>
    <xf numFmtId="4" fontId="126" fillId="0" borderId="1" xfId="0" applyNumberFormat="1" applyFont="1" applyBorder="1" applyAlignment="1">
      <alignment horizontal="center" vertical="center"/>
    </xf>
    <xf numFmtId="3" fontId="126" fillId="0" borderId="1" xfId="0" applyFont="1" applyBorder="1">
      <alignment horizontal="left" vertical="center" wrapText="1"/>
    </xf>
    <xf numFmtId="179" fontId="125" fillId="0" borderId="1" xfId="0" applyNumberFormat="1" applyFont="1" applyBorder="1" applyAlignment="1">
      <alignment horizontal="center" vertical="center" wrapText="1"/>
    </xf>
    <xf numFmtId="4" fontId="127" fillId="0" borderId="1" xfId="0" applyNumberFormat="1" applyFont="1" applyBorder="1" applyAlignment="1">
      <alignment horizontal="center"/>
    </xf>
    <xf numFmtId="4" fontId="127" fillId="0" borderId="1" xfId="0" applyNumberFormat="1" applyFont="1" applyBorder="1">
      <alignment horizontal="left" vertical="center" wrapText="1"/>
    </xf>
    <xf numFmtId="179" fontId="125" fillId="0" borderId="7" xfId="0" applyNumberFormat="1" applyFont="1" applyBorder="1" applyAlignment="1">
      <alignment horizontal="center" vertical="center"/>
    </xf>
    <xf numFmtId="3" fontId="128" fillId="0" borderId="0" xfId="0" applyFont="1" applyAlignment="1">
      <alignment horizontal="left"/>
    </xf>
    <xf numFmtId="0" fontId="133" fillId="0" borderId="2" xfId="0" applyNumberFormat="1" applyFont="1" applyBorder="1" applyAlignment="1">
      <alignment horizontal="center" vertical="center"/>
    </xf>
    <xf numFmtId="0" fontId="133" fillId="0" borderId="2" xfId="0" applyNumberFormat="1" applyFont="1" applyBorder="1" applyAlignment="1">
      <alignment horizontal="center" vertical="center" wrapText="1"/>
    </xf>
    <xf numFmtId="0" fontId="134" fillId="0" borderId="1" xfId="0" applyNumberFormat="1" applyFont="1" applyBorder="1" applyAlignment="1"/>
    <xf numFmtId="0" fontId="134" fillId="0" borderId="1" xfId="0" applyNumberFormat="1" applyFont="1" applyBorder="1" applyAlignment="1">
      <alignment horizontal="center"/>
    </xf>
    <xf numFmtId="0" fontId="125" fillId="0" borderId="0" xfId="0" applyNumberFormat="1" applyFont="1" applyAlignment="1">
      <alignment vertical="center"/>
    </xf>
    <xf numFmtId="0" fontId="125" fillId="7" borderId="2" xfId="0" applyNumberFormat="1" applyFont="1" applyFill="1" applyBorder="1" applyAlignment="1">
      <alignment horizontal="center" vertical="center"/>
    </xf>
    <xf numFmtId="0" fontId="125" fillId="7" borderId="1" xfId="0" applyNumberFormat="1" applyFont="1" applyFill="1" applyBorder="1" applyAlignment="1">
      <alignment horizontal="center" vertical="center"/>
    </xf>
    <xf numFmtId="4" fontId="125" fillId="0" borderId="1" xfId="0" applyNumberFormat="1" applyFont="1" applyBorder="1">
      <alignment horizontal="left" vertical="center" wrapText="1"/>
    </xf>
    <xf numFmtId="0" fontId="125" fillId="7" borderId="7" xfId="0" applyNumberFormat="1" applyFont="1" applyFill="1" applyBorder="1" applyAlignment="1"/>
    <xf numFmtId="170" fontId="127" fillId="0" borderId="1" xfId="0" applyNumberFormat="1" applyFont="1" applyBorder="1" applyAlignment="1">
      <alignment vertical="center"/>
    </xf>
    <xf numFmtId="4" fontId="127" fillId="0" borderId="1" xfId="0" applyNumberFormat="1" applyFont="1" applyBorder="1" applyAlignment="1">
      <alignment vertical="center"/>
    </xf>
    <xf numFmtId="4" fontId="127" fillId="6" borderId="1" xfId="0" applyNumberFormat="1" applyFont="1" applyFill="1" applyBorder="1">
      <alignment horizontal="left" vertical="center" wrapText="1"/>
    </xf>
    <xf numFmtId="180" fontId="127" fillId="0" borderId="1" xfId="0" applyNumberFormat="1" applyFont="1" applyBorder="1" applyAlignment="1">
      <alignment vertical="center"/>
    </xf>
    <xf numFmtId="4" fontId="127" fillId="0" borderId="1" xfId="0" applyNumberFormat="1" applyFont="1" applyBorder="1" applyAlignment="1">
      <alignment vertical="center" wrapText="1"/>
    </xf>
    <xf numFmtId="170" fontId="127" fillId="0" borderId="1" xfId="0" applyNumberFormat="1" applyFont="1" applyBorder="1" applyAlignment="1">
      <alignment vertical="center" wrapText="1"/>
    </xf>
    <xf numFmtId="183" fontId="125" fillId="0" borderId="1" xfId="0" applyNumberFormat="1" applyFont="1" applyBorder="1" applyAlignment="1">
      <alignment horizontal="center" vertical="center" wrapText="1"/>
    </xf>
    <xf numFmtId="180" fontId="127" fillId="0" borderId="1" xfId="0" applyNumberFormat="1" applyFont="1" applyBorder="1" applyAlignment="1">
      <alignment vertical="center" wrapText="1"/>
    </xf>
    <xf numFmtId="170" fontId="125" fillId="0" borderId="0" xfId="0" applyNumberFormat="1" applyFont="1" applyAlignment="1">
      <alignment horizontal="center" vertical="center" wrapText="1"/>
    </xf>
    <xf numFmtId="0" fontId="125" fillId="0" borderId="1" xfId="0" applyNumberFormat="1" applyFont="1" applyBorder="1" applyAlignment="1">
      <alignment vertical="center"/>
    </xf>
    <xf numFmtId="180" fontId="127" fillId="0" borderId="1" xfId="0" applyNumberFormat="1" applyFont="1" applyBorder="1" applyAlignment="1">
      <alignment horizontal="center" vertical="center"/>
    </xf>
    <xf numFmtId="0" fontId="125" fillId="7" borderId="8" xfId="0" applyNumberFormat="1" applyFont="1" applyFill="1" applyBorder="1" applyAlignment="1">
      <alignment vertical="center"/>
    </xf>
    <xf numFmtId="164" fontId="125" fillId="0" borderId="1" xfId="0" applyNumberFormat="1" applyFont="1" applyBorder="1" applyAlignment="1"/>
    <xf numFmtId="2" fontId="125" fillId="0" borderId="1" xfId="5" applyNumberFormat="1" applyFont="1" applyBorder="1"/>
    <xf numFmtId="164" fontId="125" fillId="7" borderId="1" xfId="0" applyNumberFormat="1" applyFont="1" applyFill="1" applyBorder="1" applyAlignment="1"/>
    <xf numFmtId="164" fontId="125" fillId="0" borderId="1" xfId="0" applyNumberFormat="1" applyFont="1" applyBorder="1">
      <alignment horizontal="left" vertical="center" wrapText="1"/>
    </xf>
    <xf numFmtId="180" fontId="127" fillId="0" borderId="1" xfId="0" applyNumberFormat="1" applyFont="1" applyBorder="1" applyAlignment="1">
      <alignment horizontal="center" vertical="center" wrapText="1"/>
    </xf>
    <xf numFmtId="3" fontId="135" fillId="0" borderId="1" xfId="0" applyFont="1" applyBorder="1" applyAlignment="1">
      <alignment horizontal="center" vertical="center" wrapText="1"/>
    </xf>
    <xf numFmtId="180" fontId="127" fillId="0" borderId="1" xfId="0" applyNumberFormat="1" applyFont="1" applyBorder="1" applyAlignment="1">
      <alignment horizontal="center"/>
    </xf>
    <xf numFmtId="3" fontId="22" fillId="9" borderId="1" xfId="0" applyFont="1" applyFill="1" applyBorder="1">
      <alignment horizontal="left" vertical="center" wrapText="1"/>
    </xf>
    <xf numFmtId="170" fontId="5" fillId="0" borderId="1" xfId="0" applyNumberFormat="1" applyFont="1" applyBorder="1">
      <alignment horizontal="left" vertical="center" wrapText="1"/>
    </xf>
    <xf numFmtId="0" fontId="83" fillId="0" borderId="0" xfId="0" applyNumberFormat="1" applyFont="1">
      <alignment horizontal="left" vertical="center" wrapText="1"/>
    </xf>
    <xf numFmtId="0" fontId="5" fillId="0" borderId="0" xfId="71" applyFont="1"/>
    <xf numFmtId="14" fontId="5" fillId="0" borderId="0" xfId="71" applyNumberFormat="1" applyFont="1"/>
    <xf numFmtId="1" fontId="5" fillId="0" borderId="0" xfId="71" applyNumberFormat="1" applyFont="1"/>
    <xf numFmtId="14" fontId="5" fillId="0" borderId="0" xfId="71" applyNumberFormat="1" applyFont="1" applyAlignment="1">
      <alignment horizontal="right"/>
    </xf>
    <xf numFmtId="0" fontId="5" fillId="0" borderId="0" xfId="71" applyFont="1" applyAlignment="1">
      <alignment horizontal="left"/>
    </xf>
    <xf numFmtId="0" fontId="136" fillId="0" borderId="0" xfId="71" applyAlignment="1">
      <alignment horizontal="left"/>
    </xf>
    <xf numFmtId="2" fontId="5" fillId="0" borderId="0" xfId="71" applyNumberFormat="1" applyFont="1"/>
    <xf numFmtId="3" fontId="8" fillId="0" borderId="0" xfId="0" applyFont="1" applyAlignment="1">
      <alignment horizontal="center"/>
    </xf>
    <xf numFmtId="3" fontId="14" fillId="0" borderId="0" xfId="0" applyFont="1" applyAlignment="1">
      <alignment horizontal="center"/>
    </xf>
    <xf numFmtId="2" fontId="5" fillId="0" borderId="0" xfId="0" applyNumberFormat="1" applyFont="1" applyAlignment="1"/>
    <xf numFmtId="0" fontId="19" fillId="0" borderId="0" xfId="10" applyAlignment="1">
      <alignment horizontal="left"/>
    </xf>
    <xf numFmtId="164" fontId="5" fillId="0" borderId="0" xfId="71" applyNumberFormat="1" applyFont="1" applyAlignment="1">
      <alignment horizontal="right"/>
    </xf>
    <xf numFmtId="164" fontId="5" fillId="0" borderId="0" xfId="71" applyNumberFormat="1" applyFont="1" applyAlignment="1">
      <alignment horizontal="left"/>
    </xf>
    <xf numFmtId="2" fontId="39" fillId="0" borderId="0" xfId="0" applyNumberFormat="1" applyFont="1" applyAlignment="1">
      <alignment horizontal="center" vertical="center" wrapText="1"/>
    </xf>
    <xf numFmtId="2" fontId="6" fillId="0" borderId="5" xfId="0" applyNumberFormat="1" applyFont="1" applyBorder="1" applyAlignment="1">
      <alignment horizontal="center" vertical="center" wrapText="1"/>
    </xf>
    <xf numFmtId="2" fontId="0" fillId="0" borderId="5" xfId="0" applyNumberFormat="1" applyBorder="1" applyAlignment="1">
      <alignment horizontal="center" vertical="center" wrapText="1"/>
    </xf>
    <xf numFmtId="170" fontId="6" fillId="0" borderId="5" xfId="0" applyNumberFormat="1" applyFont="1" applyBorder="1" applyAlignment="1">
      <alignment horizontal="center" vertical="center" wrapText="1"/>
    </xf>
    <xf numFmtId="170" fontId="6" fillId="0" borderId="5" xfId="0" applyNumberFormat="1" applyFont="1" applyBorder="1" applyAlignment="1">
      <alignment horizontal="center" wrapText="1"/>
    </xf>
    <xf numFmtId="3" fontId="24" fillId="7" borderId="1" xfId="0" applyFont="1" applyFill="1" applyBorder="1" applyAlignment="1">
      <alignment horizontal="center" vertical="center" wrapText="1"/>
    </xf>
    <xf numFmtId="170" fontId="6" fillId="0" borderId="10" xfId="0" applyNumberFormat="1" applyFont="1" applyBorder="1" applyAlignment="1">
      <alignment horizontal="center"/>
    </xf>
    <xf numFmtId="170" fontId="6" fillId="7" borderId="1" xfId="0" applyNumberFormat="1" applyFont="1" applyFill="1" applyBorder="1" applyAlignment="1">
      <alignment horizontal="center" vertical="center"/>
    </xf>
    <xf numFmtId="164" fontId="5" fillId="0" borderId="1" xfId="9" applyNumberFormat="1" applyBorder="1" applyAlignment="1">
      <alignment horizontal="right"/>
    </xf>
    <xf numFmtId="3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5" fillId="0" borderId="1" xfId="71" applyFont="1" applyBorder="1" applyAlignment="1">
      <alignment horizontal="center" vertical="center"/>
    </xf>
    <xf numFmtId="0" fontId="19" fillId="0" borderId="1" xfId="3" applyNumberFormat="1" applyBorder="1" applyAlignment="1">
      <alignment horizontal="center" vertical="center"/>
    </xf>
    <xf numFmtId="1" fontId="5" fillId="0" borderId="0" xfId="9" applyNumberFormat="1"/>
    <xf numFmtId="2" fontId="25" fillId="0" borderId="1" xfId="0" applyNumberFormat="1" applyFont="1" applyBorder="1">
      <alignment horizontal="left" vertical="center" wrapText="1"/>
    </xf>
    <xf numFmtId="14" fontId="10" fillId="0" borderId="0" xfId="9" applyNumberFormat="1" applyFont="1" applyAlignment="1">
      <alignment horizontal="right"/>
    </xf>
    <xf numFmtId="1" fontId="22" fillId="7" borderId="1" xfId="1" applyNumberFormat="1" applyFont="1" applyFill="1" applyBorder="1" applyAlignment="1">
      <alignment horizontal="center" vertical="center"/>
    </xf>
    <xf numFmtId="180" fontId="25" fillId="0" borderId="1" xfId="0" applyNumberFormat="1" applyFont="1" applyBorder="1" applyAlignment="1">
      <alignment horizontal="center" vertical="center"/>
    </xf>
    <xf numFmtId="2" fontId="5" fillId="0" borderId="0" xfId="9" applyNumberFormat="1"/>
    <xf numFmtId="0" fontId="5" fillId="0" borderId="0" xfId="0" applyNumberFormat="1" applyFont="1">
      <alignment horizontal="left" vertical="center" wrapText="1"/>
    </xf>
    <xf numFmtId="164" fontId="48" fillId="0" borderId="1" xfId="0" applyNumberFormat="1" applyFont="1" applyBorder="1" applyAlignment="1">
      <alignment horizontal="center" vertical="center" wrapText="1"/>
    </xf>
    <xf numFmtId="3" fontId="14" fillId="0" borderId="1" xfId="0" applyFont="1" applyBorder="1" applyAlignment="1">
      <alignment horizontal="center" vertical="center" wrapText="1"/>
    </xf>
    <xf numFmtId="3" fontId="13" fillId="0" borderId="1" xfId="0" applyFont="1" applyBorder="1" applyAlignment="1">
      <alignment vertical="top" wrapText="1"/>
    </xf>
    <xf numFmtId="1" fontId="37" fillId="0" borderId="1" xfId="0" applyNumberFormat="1" applyFont="1" applyBorder="1">
      <alignment horizontal="left" vertical="center" wrapText="1"/>
    </xf>
    <xf numFmtId="3" fontId="14" fillId="0" borderId="1" xfId="0" applyFont="1" applyBorder="1" applyAlignment="1">
      <alignment wrapText="1"/>
    </xf>
    <xf numFmtId="3" fontId="14" fillId="15" borderId="1" xfId="0" applyFont="1" applyFill="1" applyBorder="1" applyAlignment="1">
      <alignment wrapText="1"/>
    </xf>
    <xf numFmtId="164" fontId="83" fillId="0" borderId="0" xfId="0" applyNumberFormat="1" applyFont="1" applyAlignment="1">
      <alignment horizontal="center" vertical="center" wrapText="1"/>
    </xf>
    <xf numFmtId="164" fontId="84" fillId="0" borderId="0" xfId="0" applyNumberFormat="1" applyFont="1" applyAlignment="1">
      <alignment horizontal="center" vertical="center" wrapText="1"/>
    </xf>
    <xf numFmtId="3" fontId="86" fillId="55" borderId="40" xfId="0" applyFont="1" applyFill="1" applyBorder="1" applyAlignment="1">
      <alignment horizontal="center" vertical="center" wrapText="1"/>
    </xf>
    <xf numFmtId="3" fontId="86" fillId="55" borderId="43" xfId="0" applyFont="1" applyFill="1" applyBorder="1" applyAlignment="1">
      <alignment horizontal="center" vertical="center" wrapText="1"/>
    </xf>
    <xf numFmtId="164" fontId="89" fillId="0" borderId="1" xfId="0" applyNumberFormat="1" applyFont="1" applyBorder="1" applyAlignment="1">
      <alignment horizontal="center" vertical="center" wrapText="1"/>
    </xf>
    <xf numFmtId="164" fontId="90" fillId="0" borderId="1" xfId="0" applyNumberFormat="1" applyFont="1" applyBorder="1" applyAlignment="1">
      <alignment horizontal="center" vertical="center" wrapText="1"/>
    </xf>
    <xf numFmtId="14" fontId="0" fillId="7" borderId="0" xfId="0" applyNumberFormat="1" applyFill="1">
      <alignment horizontal="left" vertical="center" wrapText="1"/>
    </xf>
    <xf numFmtId="1" fontId="0" fillId="0" borderId="0" xfId="5" applyNumberFormat="1" applyFont="1" applyAlignment="1">
      <alignment horizontal="center" vertical="center" wrapText="1"/>
    </xf>
    <xf numFmtId="164" fontId="17" fillId="7" borderId="5" xfId="0" applyNumberFormat="1" applyFont="1" applyFill="1" applyBorder="1">
      <alignment horizontal="left" vertical="center" wrapText="1"/>
    </xf>
    <xf numFmtId="164" fontId="17" fillId="7" borderId="1" xfId="0" applyNumberFormat="1" applyFont="1" applyFill="1" applyBorder="1">
      <alignment horizontal="left" vertical="center" wrapText="1"/>
    </xf>
    <xf numFmtId="2" fontId="6" fillId="7" borderId="1" xfId="0" applyNumberFormat="1" applyFont="1" applyFill="1" applyBorder="1" applyAlignment="1">
      <alignment horizontal="center" vertical="center" wrapText="1"/>
    </xf>
    <xf numFmtId="164" fontId="17" fillId="7" borderId="1" xfId="0" applyNumberFormat="1" applyFont="1" applyFill="1" applyBorder="1" applyAlignment="1">
      <alignment horizontal="center" vertical="center" wrapText="1"/>
    </xf>
    <xf numFmtId="164" fontId="17" fillId="7" borderId="5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2" fontId="17" fillId="7" borderId="5" xfId="0" applyNumberFormat="1" applyFont="1" applyFill="1" applyBorder="1" applyAlignment="1">
      <alignment horizontal="center" vertical="center" wrapText="1"/>
    </xf>
    <xf numFmtId="2" fontId="17" fillId="7" borderId="1" xfId="0" applyNumberFormat="1" applyFont="1" applyFill="1" applyBorder="1" applyAlignment="1">
      <alignment horizontal="center" vertical="center" wrapText="1"/>
    </xf>
    <xf numFmtId="177" fontId="76" fillId="0" borderId="0" xfId="0" applyNumberFormat="1" applyFont="1" applyAlignment="1">
      <alignment horizontal="left" vertical="center"/>
    </xf>
    <xf numFmtId="4" fontId="39" fillId="0" borderId="1" xfId="0" applyNumberFormat="1" applyFont="1" applyBorder="1" applyAlignment="1">
      <alignment horizontal="center" vertical="center" wrapText="1"/>
    </xf>
    <xf numFmtId="14" fontId="6" fillId="7" borderId="5" xfId="0" applyNumberFormat="1" applyFont="1" applyFill="1" applyBorder="1" applyAlignment="1">
      <alignment wrapText="1"/>
    </xf>
    <xf numFmtId="14" fontId="6" fillId="7" borderId="1" xfId="0" applyNumberFormat="1" applyFont="1" applyFill="1" applyBorder="1" applyAlignment="1">
      <alignment wrapText="1"/>
    </xf>
    <xf numFmtId="2" fontId="138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2" fontId="5" fillId="0" borderId="7" xfId="0" applyNumberFormat="1" applyFont="1" applyBorder="1" applyAlignment="1">
      <alignment horizontal="center" vertical="center" wrapText="1"/>
    </xf>
    <xf numFmtId="2" fontId="5" fillId="0" borderId="5" xfId="0" applyNumberFormat="1" applyFont="1" applyBorder="1" applyAlignment="1">
      <alignment horizontal="center"/>
    </xf>
    <xf numFmtId="2" fontId="5" fillId="0" borderId="5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/>
    </xf>
    <xf numFmtId="2" fontId="5" fillId="0" borderId="13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 wrapText="1"/>
    </xf>
    <xf numFmtId="1" fontId="6" fillId="7" borderId="2" xfId="0" applyNumberFormat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1" fontId="6" fillId="7" borderId="7" xfId="0" applyNumberFormat="1" applyFont="1" applyFill="1" applyBorder="1" applyAlignment="1">
      <alignment horizontal="center" vertical="center" wrapText="1"/>
    </xf>
    <xf numFmtId="1" fontId="6" fillId="7" borderId="2" xfId="0" applyNumberFormat="1" applyFont="1" applyFill="1" applyBorder="1">
      <alignment horizontal="left" vertical="center" wrapText="1"/>
    </xf>
    <xf numFmtId="1" fontId="6" fillId="7" borderId="1" xfId="0" applyNumberFormat="1" applyFont="1" applyFill="1" applyBorder="1">
      <alignment horizontal="left" vertical="center" wrapText="1"/>
    </xf>
    <xf numFmtId="164" fontId="6" fillId="7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0" fillId="0" borderId="5" xfId="0" applyNumberFormat="1" applyBorder="1" applyAlignment="1">
      <alignment horizontal="center" vertical="center" wrapText="1"/>
    </xf>
    <xf numFmtId="164" fontId="0" fillId="0" borderId="10" xfId="0" applyNumberFormat="1" applyBorder="1" applyAlignment="1">
      <alignment horizontal="center" vertical="center" wrapText="1"/>
    </xf>
    <xf numFmtId="164" fontId="5" fillId="0" borderId="10" xfId="0" applyNumberFormat="1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 vertical="center" wrapText="1"/>
    </xf>
    <xf numFmtId="174" fontId="25" fillId="0" borderId="1" xfId="0" applyNumberFormat="1" applyFont="1" applyBorder="1">
      <alignment horizontal="left" vertical="center" wrapText="1"/>
    </xf>
    <xf numFmtId="14" fontId="25" fillId="7" borderId="1" xfId="0" applyNumberFormat="1" applyFont="1" applyFill="1" applyBorder="1">
      <alignment horizontal="left" vertical="center" wrapText="1"/>
    </xf>
    <xf numFmtId="3" fontId="39" fillId="0" borderId="1" xfId="0" applyFont="1" applyBorder="1" applyAlignment="1">
      <alignment horizontal="center" wrapText="1"/>
    </xf>
    <xf numFmtId="3" fontId="37" fillId="7" borderId="1" xfId="0" applyFont="1" applyFill="1" applyBorder="1" applyAlignment="1">
      <alignment wrapText="1"/>
    </xf>
    <xf numFmtId="20" fontId="31" fillId="0" borderId="5" xfId="0" applyNumberFormat="1" applyFont="1" applyBorder="1" applyAlignment="1">
      <alignment horizontal="center" vertical="center"/>
    </xf>
    <xf numFmtId="20" fontId="31" fillId="0" borderId="5" xfId="0" applyNumberFormat="1" applyFont="1" applyBorder="1" applyAlignment="1">
      <alignment horizontal="center" vertical="center" wrapText="1"/>
    </xf>
    <xf numFmtId="20" fontId="23" fillId="0" borderId="5" xfId="6" applyNumberFormat="1" applyBorder="1" applyAlignment="1">
      <alignment horizontal="center" vertical="center" wrapText="1"/>
    </xf>
    <xf numFmtId="3" fontId="22" fillId="7" borderId="8" xfId="0" applyFont="1" applyFill="1" applyBorder="1" applyAlignment="1">
      <alignment vertical="center" wrapText="1"/>
    </xf>
    <xf numFmtId="3" fontId="22" fillId="7" borderId="10" xfId="0" applyFont="1" applyFill="1" applyBorder="1" applyAlignment="1">
      <alignment vertical="center" wrapText="1"/>
    </xf>
    <xf numFmtId="3" fontId="22" fillId="7" borderId="2" xfId="0" applyFont="1" applyFill="1" applyBorder="1" applyAlignment="1">
      <alignment vertical="center" wrapText="1"/>
    </xf>
    <xf numFmtId="0" fontId="5" fillId="0" borderId="0" xfId="9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3" fontId="39" fillId="0" borderId="7" xfId="0" applyFont="1" applyBorder="1" applyAlignment="1">
      <alignment vertical="top" wrapText="1"/>
    </xf>
    <xf numFmtId="3" fontId="39" fillId="0" borderId="7" xfId="0" applyFont="1" applyBorder="1" applyAlignment="1">
      <alignment horizontal="left" vertical="top" wrapText="1"/>
    </xf>
    <xf numFmtId="14" fontId="39" fillId="0" borderId="7" xfId="0" applyNumberFormat="1" applyFont="1" applyBorder="1" applyAlignment="1">
      <alignment horizontal="left" vertical="center"/>
    </xf>
    <xf numFmtId="1" fontId="5" fillId="0" borderId="1" xfId="0" applyNumberFormat="1" applyFont="1" applyBorder="1" applyAlignment="1">
      <alignment horizontal="center" vertical="center"/>
    </xf>
    <xf numFmtId="3" fontId="22" fillId="7" borderId="1" xfId="0" applyFont="1" applyFill="1" applyBorder="1" applyAlignment="1">
      <alignment vertical="center" wrapText="1"/>
    </xf>
    <xf numFmtId="0" fontId="5" fillId="0" borderId="0" xfId="42" applyFont="1" applyAlignment="1">
      <alignment horizontal="center" vertical="center"/>
    </xf>
    <xf numFmtId="1" fontId="5" fillId="0" borderId="0" xfId="9" applyNumberFormat="1" applyAlignment="1">
      <alignment horizontal="center" vertical="center"/>
    </xf>
    <xf numFmtId="164" fontId="5" fillId="0" borderId="0" xfId="9" applyNumberFormat="1" applyAlignment="1">
      <alignment horizontal="center" vertical="center"/>
    </xf>
    <xf numFmtId="0" fontId="5" fillId="0" borderId="0" xfId="71" applyFont="1" applyAlignment="1">
      <alignment horizontal="center" vertical="center"/>
    </xf>
    <xf numFmtId="0" fontId="19" fillId="0" borderId="0" xfId="3" applyNumberFormat="1" applyAlignment="1">
      <alignment horizontal="center" vertical="center"/>
    </xf>
    <xf numFmtId="4" fontId="78" fillId="0" borderId="0" xfId="0" applyNumberFormat="1" applyFont="1">
      <alignment horizontal="left" vertical="center" wrapText="1"/>
    </xf>
    <xf numFmtId="14" fontId="78" fillId="0" borderId="0" xfId="0" applyNumberFormat="1" applyFont="1">
      <alignment horizontal="left" vertical="center" wrapText="1"/>
    </xf>
    <xf numFmtId="3" fontId="139" fillId="0" borderId="0" xfId="0" applyFont="1">
      <alignment horizontal="left" vertical="center" wrapText="1"/>
    </xf>
    <xf numFmtId="3" fontId="139" fillId="0" borderId="0" xfId="0" applyFont="1" applyAlignment="1">
      <alignment horizontal="center"/>
    </xf>
    <xf numFmtId="20" fontId="78" fillId="0" borderId="0" xfId="0" applyNumberFormat="1" applyFont="1">
      <alignment horizontal="left" vertical="center" wrapText="1"/>
    </xf>
    <xf numFmtId="1" fontId="78" fillId="0" borderId="0" xfId="0" applyNumberFormat="1" applyFont="1" applyAlignment="1">
      <alignment horizontal="center"/>
    </xf>
    <xf numFmtId="4" fontId="78" fillId="0" borderId="0" xfId="0" applyNumberFormat="1" applyFont="1" applyAlignment="1">
      <alignment horizontal="center"/>
    </xf>
    <xf numFmtId="2" fontId="78" fillId="0" borderId="0" xfId="0" applyNumberFormat="1" applyFont="1" applyAlignment="1">
      <alignment horizontal="center"/>
    </xf>
    <xf numFmtId="2" fontId="78" fillId="0" borderId="0" xfId="0" applyNumberFormat="1" applyFont="1">
      <alignment horizontal="left" vertical="center" wrapText="1"/>
    </xf>
    <xf numFmtId="164" fontId="78" fillId="0" borderId="0" xfId="0" applyNumberFormat="1" applyFont="1">
      <alignment horizontal="left" vertical="center" wrapText="1"/>
    </xf>
    <xf numFmtId="3" fontId="40" fillId="0" borderId="0" xfId="0" applyFont="1" applyAlignment="1">
      <alignment horizontal="center" wrapText="1"/>
    </xf>
    <xf numFmtId="3" fontId="24" fillId="0" borderId="0" xfId="0" applyFont="1" applyAlignment="1">
      <alignment horizontal="center" vertical="center" wrapText="1"/>
    </xf>
    <xf numFmtId="2" fontId="5" fillId="0" borderId="0" xfId="0" applyNumberFormat="1" applyFont="1" applyAlignment="1">
      <alignment horizontal="right"/>
    </xf>
    <xf numFmtId="170" fontId="25" fillId="0" borderId="0" xfId="0" applyNumberFormat="1" applyFont="1" applyAlignment="1">
      <alignment horizontal="center" vertical="center" wrapText="1"/>
    </xf>
    <xf numFmtId="14" fontId="22" fillId="0" borderId="0" xfId="0" applyNumberFormat="1" applyFont="1" applyAlignment="1">
      <alignment vertical="center"/>
    </xf>
    <xf numFmtId="3" fontId="31" fillId="0" borderId="0" xfId="0" applyFont="1" applyAlignment="1">
      <alignment horizontal="center" vertical="center" wrapText="1"/>
    </xf>
    <xf numFmtId="0" fontId="31" fillId="0" borderId="1" xfId="0" applyNumberFormat="1" applyFont="1" applyBorder="1" applyAlignment="1">
      <alignment horizontal="center" vertical="center" wrapText="1"/>
    </xf>
    <xf numFmtId="170" fontId="31" fillId="0" borderId="1" xfId="0" applyNumberFormat="1" applyFont="1" applyBorder="1" applyAlignment="1">
      <alignment horizontal="left" vertical="top" wrapText="1"/>
    </xf>
    <xf numFmtId="170" fontId="31" fillId="0" borderId="1" xfId="0" applyNumberFormat="1" applyFont="1" applyBorder="1">
      <alignment horizontal="left" vertical="center" wrapText="1"/>
    </xf>
    <xf numFmtId="3" fontId="14" fillId="7" borderId="1" xfId="0" applyFont="1" applyFill="1" applyBorder="1" applyAlignment="1">
      <alignment horizontal="center" wrapText="1"/>
    </xf>
    <xf numFmtId="14" fontId="39" fillId="0" borderId="1" xfId="0" applyNumberFormat="1" applyFont="1" applyBorder="1">
      <alignment horizontal="left" vertical="center" wrapText="1"/>
    </xf>
    <xf numFmtId="9" fontId="23" fillId="0" borderId="10" xfId="5" applyFont="1" applyBorder="1" applyAlignment="1">
      <alignment horizontal="left"/>
    </xf>
    <xf numFmtId="170" fontId="23" fillId="0" borderId="1" xfId="0" applyNumberFormat="1" applyFont="1" applyBorder="1" applyAlignment="1">
      <alignment horizontal="center"/>
    </xf>
    <xf numFmtId="3" fontId="28" fillId="7" borderId="1" xfId="0" applyFont="1" applyFill="1" applyBorder="1">
      <alignment horizontal="left" vertical="center" wrapText="1"/>
    </xf>
    <xf numFmtId="3" fontId="28" fillId="7" borderId="1" xfId="0" applyFont="1" applyFill="1" applyBorder="1" applyAlignment="1">
      <alignment horizontal="center"/>
    </xf>
    <xf numFmtId="3" fontId="25" fillId="0" borderId="8" xfId="0" applyFont="1" applyBorder="1" applyAlignment="1">
      <alignment horizontal="center" vertical="center" wrapText="1"/>
    </xf>
    <xf numFmtId="0" fontId="34" fillId="0" borderId="1" xfId="0" applyNumberFormat="1" applyFont="1" applyBorder="1">
      <alignment horizontal="left" vertical="center" wrapText="1"/>
    </xf>
    <xf numFmtId="3" fontId="10" fillId="0" borderId="1" xfId="0" applyFont="1" applyBorder="1" applyAlignment="1">
      <alignment horizontal="center" vertical="center" wrapText="1"/>
    </xf>
    <xf numFmtId="3" fontId="0" fillId="7" borderId="1" xfId="0" applyFill="1" applyBorder="1" applyAlignment="1">
      <alignment horizontal="center" wrapText="1"/>
    </xf>
    <xf numFmtId="0" fontId="0" fillId="7" borderId="1" xfId="0" applyNumberFormat="1" applyFill="1" applyBorder="1" applyAlignment="1">
      <alignment horizontal="center" wrapText="1"/>
    </xf>
    <xf numFmtId="3" fontId="0" fillId="0" borderId="1" xfId="0" applyBorder="1" applyAlignment="1">
      <alignment horizontal="center" wrapText="1"/>
    </xf>
    <xf numFmtId="9" fontId="0" fillId="0" borderId="1" xfId="56" applyFont="1" applyBorder="1" applyAlignment="1">
      <alignment horizontal="center" wrapText="1"/>
    </xf>
    <xf numFmtId="9" fontId="0" fillId="0" borderId="1" xfId="56" applyFont="1" applyBorder="1" applyAlignment="1">
      <alignment horizontal="center" vertical="center" wrapText="1"/>
    </xf>
    <xf numFmtId="0" fontId="0" fillId="7" borderId="10" xfId="0" applyNumberFormat="1" applyFill="1" applyBorder="1" applyAlignment="1">
      <alignment horizontal="center" wrapText="1"/>
    </xf>
    <xf numFmtId="3" fontId="0" fillId="0" borderId="10" xfId="0" applyBorder="1" applyAlignment="1">
      <alignment horizontal="center" wrapText="1"/>
    </xf>
    <xf numFmtId="9" fontId="0" fillId="0" borderId="10" xfId="56" applyFont="1" applyBorder="1" applyAlignment="1">
      <alignment horizontal="center" wrapText="1"/>
    </xf>
    <xf numFmtId="3" fontId="25" fillId="0" borderId="0" xfId="0" applyFont="1" applyAlignment="1">
      <alignment horizontal="left" vertical="center"/>
    </xf>
    <xf numFmtId="3" fontId="37" fillId="16" borderId="1" xfId="0" applyFont="1" applyFill="1" applyBorder="1" applyAlignment="1">
      <alignment horizontal="center" vertical="center" wrapText="1"/>
    </xf>
    <xf numFmtId="3" fontId="37" fillId="7" borderId="1" xfId="0" applyFont="1" applyFill="1" applyBorder="1" applyAlignment="1">
      <alignment horizontal="center" vertical="center" wrapText="1"/>
    </xf>
    <xf numFmtId="3" fontId="25" fillId="0" borderId="5" xfId="0" applyFont="1" applyBorder="1" applyAlignment="1">
      <alignment horizontal="center" vertical="center"/>
    </xf>
    <xf numFmtId="183" fontId="25" fillId="0" borderId="1" xfId="56" applyNumberFormat="1" applyFont="1" applyBorder="1" applyAlignment="1">
      <alignment horizontal="center" vertical="center" wrapText="1"/>
    </xf>
    <xf numFmtId="9" fontId="25" fillId="0" borderId="1" xfId="56" applyFont="1" applyBorder="1" applyAlignment="1">
      <alignment horizontal="center" vertical="center" wrapText="1"/>
    </xf>
    <xf numFmtId="3" fontId="25" fillId="0" borderId="1" xfId="0" applyFont="1" applyBorder="1" applyAlignment="1">
      <alignment horizontal="center" vertical="center"/>
    </xf>
    <xf numFmtId="165" fontId="22" fillId="7" borderId="1" xfId="0" applyNumberFormat="1" applyFont="1" applyFill="1" applyBorder="1" applyAlignment="1">
      <alignment horizontal="left" vertical="top" wrapText="1"/>
    </xf>
    <xf numFmtId="3" fontId="10" fillId="7" borderId="0" xfId="0" applyFont="1" applyFill="1">
      <alignment horizontal="left" vertical="center" wrapText="1"/>
    </xf>
    <xf numFmtId="9" fontId="0" fillId="0" borderId="1" xfId="56" applyFont="1" applyBorder="1" applyAlignment="1">
      <alignment horizontal="left" vertical="center" wrapText="1"/>
    </xf>
    <xf numFmtId="186" fontId="118" fillId="0" borderId="1" xfId="0" applyNumberFormat="1" applyFont="1" applyBorder="1">
      <alignment horizontal="left" vertical="center" wrapText="1"/>
    </xf>
    <xf numFmtId="170" fontId="118" fillId="0" borderId="0" xfId="0" applyNumberFormat="1" applyFont="1">
      <alignment horizontal="left" vertical="center" wrapText="1"/>
    </xf>
    <xf numFmtId="14" fontId="118" fillId="0" borderId="1" xfId="0" applyNumberFormat="1" applyFont="1" applyBorder="1">
      <alignment horizontal="left" vertical="center" wrapText="1"/>
    </xf>
    <xf numFmtId="2" fontId="118" fillId="0" borderId="1" xfId="5" applyNumberFormat="1" applyFont="1" applyBorder="1" applyAlignment="1">
      <alignment horizontal="left" vertical="center" wrapText="1"/>
    </xf>
    <xf numFmtId="3" fontId="14" fillId="7" borderId="1" xfId="0" applyFont="1" applyFill="1" applyBorder="1" applyAlignment="1">
      <alignment horizontal="right" vertical="center"/>
    </xf>
    <xf numFmtId="3" fontId="14" fillId="7" borderId="1" xfId="0" applyFont="1" applyFill="1" applyBorder="1" applyAlignment="1">
      <alignment horizontal="right" vertical="center" wrapText="1"/>
    </xf>
    <xf numFmtId="14" fontId="25" fillId="0" borderId="1" xfId="0" applyNumberFormat="1" applyFont="1" applyBorder="1">
      <alignment horizontal="left" vertical="center" wrapText="1"/>
    </xf>
    <xf numFmtId="3" fontId="16" fillId="7" borderId="8" xfId="0" applyFont="1" applyFill="1" applyBorder="1">
      <alignment horizontal="left" vertical="center" wrapText="1"/>
    </xf>
    <xf numFmtId="3" fontId="104" fillId="7" borderId="1" xfId="0" applyFont="1" applyFill="1" applyBorder="1">
      <alignment horizontal="left" vertical="center" wrapText="1"/>
    </xf>
    <xf numFmtId="186" fontId="25" fillId="0" borderId="7" xfId="0" applyNumberFormat="1" applyFont="1" applyBorder="1">
      <alignment horizontal="left" vertical="center" wrapText="1"/>
    </xf>
    <xf numFmtId="186" fontId="25" fillId="0" borderId="11" xfId="0" applyNumberFormat="1" applyFont="1" applyBorder="1">
      <alignment horizontal="left" vertical="center" wrapText="1"/>
    </xf>
    <xf numFmtId="3" fontId="25" fillId="0" borderId="11" xfId="0" applyFont="1" applyBorder="1">
      <alignment horizontal="left" vertical="center" wrapText="1"/>
    </xf>
    <xf numFmtId="4" fontId="25" fillId="0" borderId="11" xfId="0" applyNumberFormat="1" applyFont="1" applyBorder="1">
      <alignment horizontal="left" vertical="center" wrapText="1"/>
    </xf>
    <xf numFmtId="170" fontId="25" fillId="0" borderId="11" xfId="0" applyNumberFormat="1" applyFont="1" applyBorder="1">
      <alignment horizontal="left" vertical="center" wrapText="1"/>
    </xf>
    <xf numFmtId="170" fontId="25" fillId="7" borderId="1" xfId="0" applyNumberFormat="1" applyFont="1" applyFill="1" applyBorder="1">
      <alignment horizontal="left" vertical="center" wrapText="1"/>
    </xf>
    <xf numFmtId="4" fontId="25" fillId="0" borderId="7" xfId="0" applyNumberFormat="1" applyFont="1" applyBorder="1">
      <alignment horizontal="left" vertical="center" wrapText="1"/>
    </xf>
    <xf numFmtId="170" fontId="25" fillId="0" borderId="7" xfId="0" applyNumberFormat="1" applyFont="1" applyBorder="1">
      <alignment horizontal="left" vertical="center" wrapText="1"/>
    </xf>
    <xf numFmtId="170" fontId="23" fillId="0" borderId="1" xfId="0" applyNumberFormat="1" applyFont="1" applyBorder="1">
      <alignment horizontal="left" vertical="center" wrapText="1"/>
    </xf>
    <xf numFmtId="3" fontId="23" fillId="7" borderId="1" xfId="0" applyFont="1" applyFill="1" applyBorder="1">
      <alignment horizontal="left" vertical="center" wrapText="1"/>
    </xf>
    <xf numFmtId="164" fontId="14" fillId="7" borderId="1" xfId="0" applyNumberFormat="1" applyFont="1" applyFill="1" applyBorder="1">
      <alignment horizontal="left" vertical="center" wrapText="1"/>
    </xf>
    <xf numFmtId="4" fontId="23" fillId="0" borderId="1" xfId="0" applyNumberFormat="1" applyFont="1" applyBorder="1">
      <alignment horizontal="left" vertical="center" wrapText="1"/>
    </xf>
    <xf numFmtId="164" fontId="16" fillId="7" borderId="1" xfId="0" applyNumberFormat="1" applyFont="1" applyFill="1" applyBorder="1">
      <alignment horizontal="left" vertical="center" wrapText="1"/>
    </xf>
    <xf numFmtId="3" fontId="23" fillId="0" borderId="8" xfId="0" applyFont="1" applyBorder="1">
      <alignment horizontal="left" vertical="center" wrapText="1"/>
    </xf>
    <xf numFmtId="3" fontId="0" fillId="7" borderId="10" xfId="0" applyFill="1" applyBorder="1">
      <alignment horizontal="left" vertical="center" wrapText="1"/>
    </xf>
    <xf numFmtId="16" fontId="25" fillId="0" borderId="1" xfId="0" applyNumberFormat="1" applyFont="1" applyBorder="1">
      <alignment horizontal="left" vertical="center" wrapText="1"/>
    </xf>
    <xf numFmtId="9" fontId="0" fillId="0" borderId="1" xfId="5" applyFont="1" applyBorder="1" applyAlignment="1">
      <alignment horizontal="center" vertical="center" wrapText="1"/>
    </xf>
    <xf numFmtId="3" fontId="0" fillId="0" borderId="1" xfId="0" applyBorder="1" applyAlignment="1">
      <alignment vertical="center" wrapText="1"/>
    </xf>
    <xf numFmtId="0" fontId="0" fillId="0" borderId="1" xfId="0" applyNumberFormat="1" applyBorder="1" applyAlignment="1"/>
    <xf numFmtId="3" fontId="125" fillId="0" borderId="2" xfId="0" applyFont="1" applyBorder="1" applyAlignment="1">
      <alignment vertical="center" wrapText="1"/>
    </xf>
    <xf numFmtId="0" fontId="125" fillId="0" borderId="2" xfId="0" applyNumberFormat="1" applyFont="1" applyBorder="1" applyAlignment="1">
      <alignment vertical="center"/>
    </xf>
    <xf numFmtId="14" fontId="125" fillId="0" borderId="0" xfId="0" applyNumberFormat="1" applyFont="1">
      <alignment horizontal="left" vertical="center" wrapText="1"/>
    </xf>
    <xf numFmtId="3" fontId="0" fillId="0" borderId="13" xfId="0" applyBorder="1" applyAlignment="1">
      <alignment vertical="center" wrapText="1"/>
    </xf>
    <xf numFmtId="184" fontId="125" fillId="0" borderId="13" xfId="0" applyNumberFormat="1" applyFont="1" applyBorder="1" applyAlignment="1">
      <alignment vertical="center" wrapText="1"/>
    </xf>
    <xf numFmtId="184" fontId="0" fillId="0" borderId="1" xfId="0" applyNumberFormat="1" applyBorder="1">
      <alignment horizontal="left" vertical="center" wrapText="1"/>
    </xf>
    <xf numFmtId="184" fontId="0" fillId="0" borderId="1" xfId="0" applyNumberFormat="1" applyBorder="1" applyAlignment="1">
      <alignment vertical="center" wrapText="1"/>
    </xf>
    <xf numFmtId="170" fontId="125" fillId="0" borderId="13" xfId="0" applyNumberFormat="1" applyFont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/>
    </xf>
    <xf numFmtId="4" fontId="125" fillId="0" borderId="7" xfId="0" applyNumberFormat="1" applyFont="1" applyBorder="1">
      <alignment horizontal="left" vertical="center" wrapText="1"/>
    </xf>
    <xf numFmtId="0" fontId="0" fillId="7" borderId="1" xfId="0" applyNumberFormat="1" applyFill="1" applyBorder="1" applyAlignment="1"/>
    <xf numFmtId="2" fontId="125" fillId="0" borderId="2" xfId="0" applyNumberFormat="1" applyFont="1" applyBorder="1" applyAlignment="1">
      <alignment horizontal="center" vertical="center"/>
    </xf>
    <xf numFmtId="4" fontId="125" fillId="0" borderId="2" xfId="0" applyNumberFormat="1" applyFont="1" applyBorder="1">
      <alignment horizontal="left" vertical="center" wrapText="1"/>
    </xf>
    <xf numFmtId="4" fontId="125" fillId="0" borderId="2" xfId="0" applyNumberFormat="1" applyFont="1" applyBorder="1" applyAlignment="1">
      <alignment horizontal="center" vertical="center" wrapText="1"/>
    </xf>
    <xf numFmtId="0" fontId="0" fillId="7" borderId="1" xfId="0" applyNumberFormat="1" applyFill="1" applyBorder="1" applyAlignment="1">
      <alignment horizontal="center" vertical="center"/>
    </xf>
    <xf numFmtId="4" fontId="125" fillId="0" borderId="6" xfId="0" applyNumberFormat="1" applyFont="1" applyBorder="1">
      <alignment horizontal="left" vertical="center" wrapText="1"/>
    </xf>
    <xf numFmtId="0" fontId="24" fillId="7" borderId="1" xfId="0" applyNumberFormat="1" applyFont="1" applyFill="1" applyBorder="1" applyAlignment="1"/>
    <xf numFmtId="0" fontId="0" fillId="7" borderId="1" xfId="0" applyNumberFormat="1" applyFill="1" applyBorder="1">
      <alignment horizontal="left" vertical="center" wrapText="1"/>
    </xf>
    <xf numFmtId="164" fontId="5" fillId="0" borderId="0" xfId="71" applyNumberFormat="1" applyFont="1"/>
    <xf numFmtId="0" fontId="16" fillId="0" borderId="0" xfId="42" applyFont="1"/>
    <xf numFmtId="14" fontId="16" fillId="0" borderId="0" xfId="42" applyNumberFormat="1" applyFont="1"/>
    <xf numFmtId="49" fontId="16" fillId="0" borderId="0" xfId="42" applyNumberFormat="1" applyFont="1"/>
    <xf numFmtId="165" fontId="16" fillId="0" borderId="0" xfId="42" applyNumberFormat="1" applyFont="1"/>
    <xf numFmtId="14" fontId="16" fillId="0" borderId="0" xfId="0" applyNumberFormat="1" applyFont="1" applyAlignment="1"/>
    <xf numFmtId="164" fontId="5" fillId="0" borderId="0" xfId="9" applyNumberFormat="1"/>
    <xf numFmtId="0" fontId="11" fillId="0" borderId="0" xfId="71" applyFont="1"/>
    <xf numFmtId="14" fontId="0" fillId="0" borderId="0" xfId="0" applyNumberFormat="1" applyAlignment="1"/>
    <xf numFmtId="1" fontId="24" fillId="7" borderId="2" xfId="0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3" fontId="24" fillId="0" borderId="7" xfId="0" applyFont="1" applyBorder="1">
      <alignment horizontal="left" vertical="center" wrapText="1"/>
    </xf>
    <xf numFmtId="164" fontId="5" fillId="0" borderId="1" xfId="0" applyNumberFormat="1" applyFont="1" applyBorder="1" applyAlignment="1">
      <alignment horizontal="right"/>
    </xf>
    <xf numFmtId="164" fontId="5" fillId="0" borderId="1" xfId="71" applyNumberFormat="1" applyFont="1" applyBorder="1" applyAlignment="1">
      <alignment horizontal="right"/>
    </xf>
    <xf numFmtId="165" fontId="37" fillId="2" borderId="1" xfId="0" applyNumberFormat="1" applyFont="1" applyFill="1" applyBorder="1" applyAlignment="1">
      <alignment horizontal="left" vertical="top" wrapText="1"/>
    </xf>
    <xf numFmtId="164" fontId="37" fillId="2" borderId="1" xfId="0" applyNumberFormat="1" applyFont="1" applyFill="1" applyBorder="1" applyAlignment="1">
      <alignment horizontal="left" vertical="top" wrapText="1"/>
    </xf>
    <xf numFmtId="164" fontId="37" fillId="2" borderId="0" xfId="0" applyNumberFormat="1" applyFont="1" applyFill="1" applyAlignment="1">
      <alignment horizontal="left" vertical="top" wrapText="1"/>
    </xf>
    <xf numFmtId="15" fontId="76" fillId="10" borderId="7" xfId="0" applyNumberFormat="1" applyFont="1" applyFill="1" applyBorder="1">
      <alignment horizontal="left" vertical="center" wrapText="1"/>
    </xf>
    <xf numFmtId="165" fontId="37" fillId="2" borderId="7" xfId="0" applyNumberFormat="1" applyFont="1" applyFill="1" applyBorder="1" applyAlignment="1">
      <alignment horizontal="left" vertical="top" wrapText="1"/>
    </xf>
    <xf numFmtId="164" fontId="37" fillId="2" borderId="7" xfId="0" applyNumberFormat="1" applyFont="1" applyFill="1" applyBorder="1" applyAlignment="1">
      <alignment horizontal="left" vertical="top" wrapText="1"/>
    </xf>
    <xf numFmtId="3" fontId="38" fillId="0" borderId="1" xfId="0" applyFont="1" applyBorder="1">
      <alignment horizontal="left" vertical="center" wrapText="1"/>
    </xf>
    <xf numFmtId="187" fontId="87" fillId="17" borderId="40" xfId="0" applyNumberFormat="1" applyFont="1" applyFill="1" applyBorder="1">
      <alignment horizontal="left" vertical="center" wrapText="1"/>
    </xf>
    <xf numFmtId="187" fontId="87" fillId="17" borderId="35" xfId="0" applyNumberFormat="1" applyFont="1" applyFill="1" applyBorder="1">
      <alignment horizontal="left" vertical="center" wrapText="1"/>
    </xf>
    <xf numFmtId="187" fontId="87" fillId="17" borderId="36" xfId="0" applyNumberFormat="1" applyFont="1" applyFill="1" applyBorder="1">
      <alignment horizontal="left" vertical="center" wrapText="1"/>
    </xf>
    <xf numFmtId="164" fontId="141" fillId="0" borderId="16" xfId="0" applyNumberFormat="1" applyFont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3" fontId="31" fillId="7" borderId="24" xfId="0" applyFont="1" applyFill="1" applyBorder="1" applyAlignment="1">
      <alignment wrapText="1"/>
    </xf>
    <xf numFmtId="174" fontId="31" fillId="0" borderId="5" xfId="0" applyNumberFormat="1" applyFont="1" applyBorder="1" applyAlignment="1">
      <alignment horizontal="center" vertical="center"/>
    </xf>
    <xf numFmtId="174" fontId="31" fillId="7" borderId="5" xfId="0" applyNumberFormat="1" applyFont="1" applyFill="1" applyBorder="1" applyAlignment="1">
      <alignment horizontal="center" vertical="center" wrapText="1"/>
    </xf>
    <xf numFmtId="9" fontId="31" fillId="7" borderId="1" xfId="0" applyNumberFormat="1" applyFont="1" applyFill="1" applyBorder="1" applyAlignment="1">
      <alignment horizontal="center" vertical="center" wrapText="1"/>
    </xf>
    <xf numFmtId="1" fontId="31" fillId="0" borderId="1" xfId="5" applyNumberFormat="1" applyFont="1" applyBorder="1" applyAlignment="1">
      <alignment horizontal="center" vertical="center" wrapText="1"/>
    </xf>
    <xf numFmtId="174" fontId="31" fillId="0" borderId="15" xfId="0" applyNumberFormat="1" applyFont="1" applyBorder="1" applyAlignment="1">
      <alignment horizontal="center" vertical="center"/>
    </xf>
    <xf numFmtId="2" fontId="31" fillId="0" borderId="2" xfId="0" applyNumberFormat="1" applyFont="1" applyBorder="1" applyAlignment="1">
      <alignment horizontal="center" vertical="center"/>
    </xf>
    <xf numFmtId="1" fontId="31" fillId="0" borderId="6" xfId="0" applyNumberFormat="1" applyFont="1" applyBorder="1" applyAlignment="1">
      <alignment horizontal="center" vertical="center"/>
    </xf>
    <xf numFmtId="1" fontId="31" fillId="0" borderId="2" xfId="5" applyNumberFormat="1" applyFont="1" applyBorder="1" applyAlignment="1">
      <alignment horizontal="center" vertical="center"/>
    </xf>
    <xf numFmtId="3" fontId="31" fillId="0" borderId="2" xfId="0" applyFont="1" applyBorder="1" applyAlignment="1">
      <alignment horizontal="center" vertical="center" wrapText="1"/>
    </xf>
    <xf numFmtId="1" fontId="31" fillId="0" borderId="7" xfId="0" applyNumberFormat="1" applyFont="1" applyBorder="1" applyAlignment="1">
      <alignment horizontal="center" vertical="center"/>
    </xf>
    <xf numFmtId="174" fontId="31" fillId="7" borderId="5" xfId="0" applyNumberFormat="1" applyFont="1" applyFill="1" applyBorder="1" applyAlignment="1">
      <alignment horizontal="center" vertical="center"/>
    </xf>
    <xf numFmtId="2" fontId="31" fillId="7" borderId="1" xfId="0" applyNumberFormat="1" applyFont="1" applyFill="1" applyBorder="1" applyAlignment="1">
      <alignment horizontal="center" vertical="center"/>
    </xf>
    <xf numFmtId="164" fontId="0" fillId="7" borderId="1" xfId="0" applyNumberFormat="1" applyFill="1" applyBorder="1" applyAlignment="1">
      <alignment horizontal="center" vertical="center" wrapText="1"/>
    </xf>
    <xf numFmtId="1" fontId="31" fillId="7" borderId="7" xfId="0" applyNumberFormat="1" applyFont="1" applyFill="1" applyBorder="1" applyAlignment="1">
      <alignment horizontal="center" vertical="center"/>
    </xf>
    <xf numFmtId="1" fontId="31" fillId="7" borderId="1" xfId="5" applyNumberFormat="1" applyFont="1" applyFill="1" applyBorder="1" applyAlignment="1">
      <alignment horizontal="center" vertical="center"/>
    </xf>
    <xf numFmtId="174" fontId="31" fillId="7" borderId="23" xfId="0" applyNumberFormat="1" applyFont="1" applyFill="1" applyBorder="1" applyAlignment="1">
      <alignment horizontal="center" vertical="center"/>
    </xf>
    <xf numFmtId="2" fontId="31" fillId="7" borderId="8" xfId="0" applyNumberFormat="1" applyFont="1" applyFill="1" applyBorder="1" applyAlignment="1">
      <alignment horizontal="center" vertical="center"/>
    </xf>
    <xf numFmtId="164" fontId="0" fillId="7" borderId="0" xfId="0" applyNumberFormat="1" applyFill="1" applyAlignment="1">
      <alignment horizontal="center" vertical="center" wrapText="1"/>
    </xf>
    <xf numFmtId="1" fontId="31" fillId="7" borderId="8" xfId="0" applyNumberFormat="1" applyFont="1" applyFill="1" applyBorder="1" applyAlignment="1">
      <alignment horizontal="center" vertical="center"/>
    </xf>
    <xf numFmtId="1" fontId="31" fillId="7" borderId="8" xfId="5" applyNumberFormat="1" applyFont="1" applyFill="1" applyBorder="1" applyAlignment="1">
      <alignment horizontal="center" vertical="center"/>
    </xf>
    <xf numFmtId="3" fontId="31" fillId="7" borderId="8" xfId="0" applyFont="1" applyFill="1" applyBorder="1" applyAlignment="1">
      <alignment horizontal="center" vertical="center" wrapText="1"/>
    </xf>
    <xf numFmtId="9" fontId="31" fillId="0" borderId="2" xfId="5" applyFont="1" applyBorder="1" applyAlignment="1">
      <alignment horizontal="center" vertical="center"/>
    </xf>
    <xf numFmtId="9" fontId="31" fillId="7" borderId="1" xfId="0" applyNumberFormat="1" applyFont="1" applyFill="1" applyBorder="1" applyAlignment="1">
      <alignment horizontal="center" vertical="center"/>
    </xf>
    <xf numFmtId="9" fontId="31" fillId="7" borderId="8" xfId="0" applyNumberFormat="1" applyFont="1" applyFill="1" applyBorder="1" applyAlignment="1">
      <alignment horizontal="center" vertical="center"/>
    </xf>
    <xf numFmtId="14" fontId="37" fillId="7" borderId="1" xfId="0" applyNumberFormat="1" applyFont="1" applyFill="1" applyBorder="1">
      <alignment horizontal="left" vertical="center" wrapText="1"/>
    </xf>
    <xf numFmtId="3" fontId="37" fillId="7" borderId="1" xfId="0" applyFont="1" applyFill="1" applyBorder="1" applyAlignment="1">
      <alignment horizontal="center" vertical="center"/>
    </xf>
    <xf numFmtId="177" fontId="38" fillId="0" borderId="1" xfId="0" applyNumberFormat="1" applyFont="1" applyBorder="1" applyAlignment="1"/>
    <xf numFmtId="3" fontId="38" fillId="0" borderId="1" xfId="0" applyFont="1" applyBorder="1" applyAlignment="1">
      <alignment vertical="center"/>
    </xf>
    <xf numFmtId="164" fontId="23" fillId="0" borderId="1" xfId="9" applyNumberFormat="1" applyFont="1" applyBorder="1" applyAlignment="1">
      <alignment horizontal="center" vertical="center"/>
    </xf>
    <xf numFmtId="164" fontId="23" fillId="0" borderId="1" xfId="0" applyNumberFormat="1" applyFont="1" applyBorder="1" applyAlignment="1">
      <alignment horizontal="center" vertical="center" wrapText="1"/>
    </xf>
    <xf numFmtId="3" fontId="142" fillId="0" borderId="0" xfId="0" applyFont="1">
      <alignment horizontal="left" vertical="center" wrapText="1"/>
    </xf>
    <xf numFmtId="9" fontId="0" fillId="0" borderId="1" xfId="0" applyNumberFormat="1" applyBorder="1" applyAlignment="1">
      <alignment horizontal="center" vertical="center" wrapText="1"/>
    </xf>
    <xf numFmtId="3" fontId="76" fillId="16" borderId="1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/>
    </xf>
    <xf numFmtId="3" fontId="25" fillId="0" borderId="1" xfId="0" applyFont="1" applyBorder="1" applyAlignment="1">
      <alignment horizontal="left" vertical="top" wrapText="1"/>
    </xf>
    <xf numFmtId="3" fontId="25" fillId="0" borderId="1" xfId="0" applyFont="1" applyBorder="1" applyAlignment="1">
      <alignment horizontal="left" wrapText="1"/>
    </xf>
    <xf numFmtId="3" fontId="39" fillId="0" borderId="1" xfId="0" applyFont="1" applyBorder="1" applyAlignment="1">
      <alignment horizontal="left" wrapText="1"/>
    </xf>
    <xf numFmtId="1" fontId="0" fillId="7" borderId="1" xfId="0" applyNumberFormat="1" applyFill="1" applyBorder="1">
      <alignment horizontal="left" vertical="center" wrapText="1"/>
    </xf>
    <xf numFmtId="164" fontId="14" fillId="7" borderId="1" xfId="0" applyNumberFormat="1" applyFont="1" applyFill="1" applyBorder="1" applyAlignment="1">
      <alignment horizontal="center"/>
    </xf>
    <xf numFmtId="170" fontId="0" fillId="0" borderId="5" xfId="0" applyNumberFormat="1" applyBorder="1" applyAlignment="1">
      <alignment horizontal="center" vertical="center" wrapText="1"/>
    </xf>
    <xf numFmtId="3" fontId="22" fillId="7" borderId="3" xfId="0" applyFont="1" applyFill="1" applyBorder="1">
      <alignment horizontal="left" vertical="center" wrapText="1"/>
    </xf>
    <xf numFmtId="177" fontId="22" fillId="7" borderId="1" xfId="0" applyNumberFormat="1" applyFont="1" applyFill="1" applyBorder="1">
      <alignment horizontal="left" vertical="center" wrapText="1"/>
    </xf>
    <xf numFmtId="3" fontId="25" fillId="0" borderId="0" xfId="0" applyFont="1" applyAlignment="1">
      <alignment horizontal="center"/>
    </xf>
    <xf numFmtId="3" fontId="25" fillId="7" borderId="1" xfId="0" applyFont="1" applyFill="1" applyBorder="1" applyAlignment="1"/>
    <xf numFmtId="3" fontId="25" fillId="7" borderId="23" xfId="0" applyFont="1" applyFill="1" applyBorder="1" applyAlignment="1"/>
    <xf numFmtId="2" fontId="25" fillId="7" borderId="8" xfId="0" applyNumberFormat="1" applyFont="1" applyFill="1" applyBorder="1" applyAlignment="1"/>
    <xf numFmtId="2" fontId="143" fillId="7" borderId="8" xfId="0" applyNumberFormat="1" applyFont="1" applyFill="1" applyBorder="1" applyAlignment="1">
      <alignment wrapText="1"/>
    </xf>
    <xf numFmtId="165" fontId="25" fillId="7" borderId="24" xfId="0" applyNumberFormat="1" applyFont="1" applyFill="1" applyBorder="1" applyAlignment="1"/>
    <xf numFmtId="3" fontId="25" fillId="7" borderId="1" xfId="0" applyFont="1" applyFill="1" applyBorder="1" applyAlignment="1">
      <alignment wrapText="1"/>
    </xf>
    <xf numFmtId="3" fontId="22" fillId="7" borderId="13" xfId="0" applyFont="1" applyFill="1" applyBorder="1">
      <alignment horizontal="left" vertical="center" wrapText="1"/>
    </xf>
    <xf numFmtId="3" fontId="22" fillId="7" borderId="23" xfId="0" applyFont="1" applyFill="1" applyBorder="1" applyAlignment="1">
      <alignment vertical="center" wrapText="1"/>
    </xf>
    <xf numFmtId="3" fontId="22" fillId="7" borderId="14" xfId="0" applyFont="1" applyFill="1" applyBorder="1" applyAlignment="1">
      <alignment vertical="center" wrapText="1"/>
    </xf>
    <xf numFmtId="3" fontId="22" fillId="7" borderId="15" xfId="0" applyFont="1" applyFill="1" applyBorder="1" applyAlignment="1">
      <alignment vertical="center" wrapText="1"/>
    </xf>
    <xf numFmtId="3" fontId="22" fillId="7" borderId="5" xfId="0" applyFont="1" applyFill="1" applyBorder="1">
      <alignment horizontal="left" vertical="center" wrapText="1"/>
    </xf>
    <xf numFmtId="3" fontId="22" fillId="7" borderId="3" xfId="0" applyFont="1" applyFill="1" applyBorder="1" applyAlignment="1">
      <alignment vertical="center" wrapText="1"/>
    </xf>
    <xf numFmtId="1" fontId="19" fillId="0" borderId="0" xfId="3" applyNumberFormat="1" applyAlignment="1">
      <alignment horizontal="center" vertical="center"/>
    </xf>
    <xf numFmtId="170" fontId="31" fillId="0" borderId="1" xfId="0" applyNumberFormat="1" applyFont="1" applyBorder="1" applyAlignment="1">
      <alignment horizontal="left" vertical="top"/>
    </xf>
    <xf numFmtId="3" fontId="103" fillId="0" borderId="2" xfId="0" applyFont="1" applyBorder="1" applyAlignment="1">
      <alignment horizontal="center" vertical="top" wrapText="1"/>
    </xf>
    <xf numFmtId="3" fontId="5" fillId="8" borderId="1" xfId="0" applyFont="1" applyFill="1" applyBorder="1" applyAlignment="1">
      <alignment horizontal="left" vertical="top" wrapText="1"/>
    </xf>
    <xf numFmtId="3" fontId="5" fillId="8" borderId="2" xfId="0" applyFont="1" applyFill="1" applyBorder="1" applyAlignment="1">
      <alignment horizontal="right" vertical="top" wrapText="1"/>
    </xf>
    <xf numFmtId="3" fontId="103" fillId="7" borderId="1" xfId="0" applyFont="1" applyFill="1" applyBorder="1" applyAlignment="1">
      <alignment horizontal="left" vertical="top" wrapText="1"/>
    </xf>
    <xf numFmtId="3" fontId="5" fillId="7" borderId="1" xfId="0" applyFont="1" applyFill="1" applyBorder="1" applyAlignment="1">
      <alignment horizontal="right" vertical="center" wrapText="1"/>
    </xf>
    <xf numFmtId="3" fontId="6" fillId="7" borderId="1" xfId="0" applyFont="1" applyFill="1" applyBorder="1" applyAlignment="1">
      <alignment vertical="center" wrapText="1"/>
    </xf>
    <xf numFmtId="3" fontId="6" fillId="7" borderId="2" xfId="0" applyFont="1" applyFill="1" applyBorder="1">
      <alignment horizontal="left" vertical="center" wrapText="1"/>
    </xf>
    <xf numFmtId="3" fontId="6" fillId="0" borderId="2" xfId="0" applyFont="1" applyBorder="1" applyAlignment="1">
      <alignment horizontal="center" vertical="top" wrapText="1"/>
    </xf>
    <xf numFmtId="3" fontId="111" fillId="0" borderId="1" xfId="0" applyFont="1" applyBorder="1">
      <alignment horizontal="left" vertical="center" wrapText="1"/>
    </xf>
    <xf numFmtId="170" fontId="111" fillId="0" borderId="1" xfId="0" applyNumberFormat="1" applyFont="1" applyBorder="1">
      <alignment horizontal="left" vertical="center" wrapText="1"/>
    </xf>
    <xf numFmtId="0" fontId="6" fillId="0" borderId="0" xfId="9" applyFont="1" applyAlignment="1">
      <alignment horizontal="right"/>
    </xf>
    <xf numFmtId="49" fontId="5" fillId="0" borderId="0" xfId="9" applyNumberFormat="1" applyAlignment="1">
      <alignment horizontal="left"/>
    </xf>
    <xf numFmtId="3" fontId="5" fillId="0" borderId="0" xfId="9" applyNumberFormat="1"/>
    <xf numFmtId="0" fontId="17" fillId="0" borderId="0" xfId="9" applyFont="1"/>
    <xf numFmtId="0" fontId="25" fillId="0" borderId="1" xfId="9" applyFont="1" applyBorder="1"/>
    <xf numFmtId="3" fontId="25" fillId="0" borderId="1" xfId="0" applyFont="1" applyBorder="1" applyAlignment="1"/>
    <xf numFmtId="3" fontId="25" fillId="0" borderId="0" xfId="9" applyNumberFormat="1" applyFont="1"/>
    <xf numFmtId="9" fontId="83" fillId="0" borderId="0" xfId="5" applyFont="1" applyAlignment="1">
      <alignment horizontal="left" vertical="center" wrapText="1"/>
    </xf>
    <xf numFmtId="165" fontId="16" fillId="0" borderId="0" xfId="0" applyNumberFormat="1" applyFont="1" applyAlignment="1">
      <alignment horizontal="right"/>
    </xf>
    <xf numFmtId="3" fontId="76" fillId="0" borderId="0" xfId="0" applyFont="1" applyAlignment="1">
      <alignment horizontal="center" vertical="center" wrapText="1"/>
    </xf>
    <xf numFmtId="170" fontId="31" fillId="0" borderId="0" xfId="0" applyNumberFormat="1" applyFont="1">
      <alignment horizontal="left" vertical="center" wrapText="1"/>
    </xf>
    <xf numFmtId="2" fontId="83" fillId="0" borderId="0" xfId="0" applyNumberFormat="1" applyFont="1" applyAlignment="1">
      <alignment horizontal="left"/>
    </xf>
    <xf numFmtId="2" fontId="6" fillId="0" borderId="0" xfId="0" applyNumberFormat="1" applyFont="1" applyAlignment="1">
      <alignment horizontal="left"/>
    </xf>
    <xf numFmtId="1" fontId="31" fillId="0" borderId="0" xfId="0" applyNumberFormat="1" applyFont="1">
      <alignment horizontal="left" vertical="center" wrapText="1"/>
    </xf>
    <xf numFmtId="176" fontId="31" fillId="0" borderId="0" xfId="0" applyNumberFormat="1" applyFont="1">
      <alignment horizontal="left" vertical="center" wrapText="1"/>
    </xf>
    <xf numFmtId="3" fontId="25" fillId="0" borderId="0" xfId="0" applyFont="1" applyAlignment="1">
      <alignment horizontal="left" vertical="center"/>
    </xf>
    <xf numFmtId="3" fontId="96" fillId="0" borderId="18" xfId="0" applyFont="1" applyBorder="1" applyAlignment="1">
      <alignment horizontal="center" vertical="center" wrapText="1"/>
    </xf>
    <xf numFmtId="3" fontId="96" fillId="0" borderId="19" xfId="0" applyFont="1" applyBorder="1" applyAlignment="1">
      <alignment horizontal="center" vertical="center" wrapText="1"/>
    </xf>
    <xf numFmtId="3" fontId="145" fillId="0" borderId="40" xfId="0" applyFont="1" applyBorder="1" applyAlignment="1">
      <alignment horizontal="center" vertical="top" wrapText="1"/>
    </xf>
    <xf numFmtId="3" fontId="145" fillId="0" borderId="69" xfId="0" applyFont="1" applyBorder="1" applyAlignment="1">
      <alignment horizontal="center" vertical="top" wrapText="1"/>
    </xf>
    <xf numFmtId="3" fontId="145" fillId="0" borderId="35" xfId="0" applyFont="1" applyBorder="1" applyAlignment="1">
      <alignment horizontal="left" vertical="top" wrapText="1"/>
    </xf>
    <xf numFmtId="3" fontId="0" fillId="0" borderId="70" xfId="0" applyBorder="1">
      <alignment horizontal="left" vertical="center" wrapText="1"/>
    </xf>
    <xf numFmtId="3" fontId="145" fillId="0" borderId="71" xfId="0" applyFont="1" applyBorder="1" applyAlignment="1">
      <alignment horizontal="left" vertical="top" wrapText="1"/>
    </xf>
    <xf numFmtId="3" fontId="145" fillId="0" borderId="36" xfId="0" applyFont="1" applyBorder="1" applyAlignment="1">
      <alignment horizontal="left" vertical="top" wrapText="1"/>
    </xf>
    <xf numFmtId="3" fontId="145" fillId="0" borderId="72" xfId="0" applyFont="1" applyBorder="1" applyAlignment="1">
      <alignment horizontal="left" vertical="top" wrapText="1"/>
    </xf>
    <xf numFmtId="3" fontId="0" fillId="0" borderId="0" xfId="0" applyFont="1">
      <alignment horizontal="left" vertical="center" wrapText="1"/>
    </xf>
    <xf numFmtId="164" fontId="36" fillId="0" borderId="10" xfId="0" applyNumberFormat="1" applyFont="1" applyFill="1" applyBorder="1" applyAlignment="1">
      <alignment horizontal="center"/>
    </xf>
    <xf numFmtId="3" fontId="22" fillId="54" borderId="1" xfId="0" applyFont="1" applyFill="1" applyBorder="1">
      <alignment horizontal="left" vertical="center" wrapText="1"/>
    </xf>
    <xf numFmtId="3" fontId="24" fillId="54" borderId="1" xfId="0" applyFont="1" applyFill="1" applyBorder="1" applyAlignment="1">
      <alignment horizontal="center" vertical="center" wrapText="1"/>
    </xf>
    <xf numFmtId="1" fontId="22" fillId="54" borderId="1" xfId="0" applyNumberFormat="1" applyFont="1" applyFill="1" applyBorder="1" applyAlignment="1">
      <alignment horizontal="center" vertical="center" wrapText="1"/>
    </xf>
    <xf numFmtId="3" fontId="22" fillId="54" borderId="1" xfId="0" applyFont="1" applyFill="1" applyBorder="1" applyAlignment="1">
      <alignment horizontal="center" vertical="center" wrapText="1"/>
    </xf>
    <xf numFmtId="3" fontId="0" fillId="0" borderId="1" xfId="0" applyFont="1" applyBorder="1">
      <alignment horizontal="left" vertical="center" wrapText="1"/>
    </xf>
    <xf numFmtId="3" fontId="146" fillId="0" borderId="1" xfId="0" applyFont="1" applyBorder="1">
      <alignment horizontal="left" vertical="center" wrapText="1"/>
    </xf>
    <xf numFmtId="3" fontId="22" fillId="0" borderId="1" xfId="0" applyFont="1" applyBorder="1" applyAlignment="1">
      <alignment horizontal="center" vertical="center" wrapText="1"/>
    </xf>
    <xf numFmtId="3" fontId="22" fillId="0" borderId="10" xfId="0" applyFont="1" applyFill="1" applyBorder="1" applyAlignment="1">
      <alignment horizontal="center" vertical="center" wrapText="1"/>
    </xf>
    <xf numFmtId="164" fontId="108" fillId="0" borderId="1" xfId="6" applyNumberFormat="1" applyFont="1">
      <alignment horizontal="left" vertical="center" wrapText="1"/>
    </xf>
    <xf numFmtId="164" fontId="103" fillId="0" borderId="1" xfId="0" applyNumberFormat="1" applyFont="1" applyBorder="1">
      <alignment horizontal="left" vertical="center" wrapText="1"/>
    </xf>
    <xf numFmtId="164" fontId="103" fillId="0" borderId="0" xfId="0" applyNumberFormat="1" applyFont="1">
      <alignment horizontal="left" vertical="center" wrapText="1"/>
    </xf>
    <xf numFmtId="3" fontId="0" fillId="0" borderId="1" xfId="0" applyBorder="1" applyAlignment="1">
      <alignment horizontal="center" vertical="center" wrapText="1"/>
    </xf>
    <xf numFmtId="0" fontId="0" fillId="0" borderId="0" xfId="1" applyNumberFormat="1" applyFont="1" applyAlignment="1">
      <alignment horizontal="left" vertical="center" wrapText="1"/>
    </xf>
    <xf numFmtId="3" fontId="141" fillId="13" borderId="1" xfId="0" applyFont="1" applyFill="1" applyBorder="1" applyAlignment="1">
      <alignment horizontal="center" vertical="center" wrapText="1"/>
    </xf>
    <xf numFmtId="3" fontId="141" fillId="0" borderId="1" xfId="0" applyFont="1" applyBorder="1">
      <alignment horizontal="left" vertical="center" wrapText="1"/>
    </xf>
    <xf numFmtId="3" fontId="141" fillId="0" borderId="1" xfId="0" applyFont="1" applyBorder="1" applyAlignment="1">
      <alignment horizontal="center" vertical="center" wrapText="1"/>
    </xf>
    <xf numFmtId="3" fontId="25" fillId="0" borderId="1" xfId="0" applyFont="1" applyBorder="1" applyAlignment="1">
      <alignment horizontal="left" vertical="center" wrapText="1"/>
    </xf>
    <xf numFmtId="3" fontId="141" fillId="0" borderId="1" xfId="0" applyFont="1" applyFill="1" applyBorder="1" applyAlignment="1">
      <alignment horizontal="center" vertical="center" wrapText="1"/>
    </xf>
    <xf numFmtId="3" fontId="25" fillId="0" borderId="1" xfId="0" applyFont="1" applyBorder="1">
      <alignment horizontal="left" vertical="center" wrapText="1"/>
    </xf>
    <xf numFmtId="3" fontId="25" fillId="0" borderId="1" xfId="0" applyFont="1" applyBorder="1" applyAlignment="1">
      <alignment horizontal="center" vertical="center" wrapText="1"/>
    </xf>
    <xf numFmtId="3" fontId="6" fillId="7" borderId="1" xfId="0" applyFont="1" applyFill="1" applyBorder="1" applyAlignment="1">
      <alignment horizontal="center"/>
    </xf>
    <xf numFmtId="3" fontId="103" fillId="0" borderId="0" xfId="0" applyFont="1">
      <alignment horizontal="left" vertical="center" wrapText="1"/>
    </xf>
    <xf numFmtId="3" fontId="103" fillId="0" borderId="1" xfId="0" applyFont="1" applyFill="1" applyBorder="1">
      <alignment horizontal="left" vertical="center" wrapText="1"/>
    </xf>
    <xf numFmtId="3" fontId="6" fillId="7" borderId="1" xfId="0" applyFont="1" applyFill="1" applyBorder="1" applyAlignment="1">
      <alignment horizontal="center" vertical="center" wrapText="1"/>
    </xf>
    <xf numFmtId="186" fontId="0" fillId="0" borderId="1" xfId="0" applyNumberFormat="1" applyFont="1" applyBorder="1">
      <alignment horizontal="left" vertical="center" wrapText="1"/>
    </xf>
    <xf numFmtId="4" fontId="103" fillId="0" borderId="1" xfId="0" applyNumberFormat="1" applyFont="1" applyBorder="1">
      <alignment horizontal="left" vertical="center" wrapText="1"/>
    </xf>
    <xf numFmtId="170" fontId="103" fillId="0" borderId="7" xfId="0" applyNumberFormat="1" applyFont="1" applyBorder="1">
      <alignment horizontal="left" vertical="center" wrapText="1"/>
    </xf>
    <xf numFmtId="20" fontId="5" fillId="0" borderId="1" xfId="0" applyNumberFormat="1" applyFont="1" applyBorder="1">
      <alignment horizontal="left" vertical="center" wrapText="1"/>
    </xf>
    <xf numFmtId="3" fontId="118" fillId="0" borderId="1" xfId="0" applyFont="1" applyBorder="1">
      <alignment horizontal="left" vertical="center" wrapText="1"/>
    </xf>
    <xf numFmtId="3" fontId="119" fillId="56" borderId="1" xfId="0" applyFont="1" applyFill="1" applyBorder="1">
      <alignment horizontal="left" vertical="center" wrapText="1"/>
    </xf>
    <xf numFmtId="3" fontId="119" fillId="56" borderId="1" xfId="0" applyFont="1" applyFill="1" applyBorder="1" applyAlignment="1">
      <alignment horizontal="left" vertical="center"/>
    </xf>
    <xf numFmtId="4" fontId="0" fillId="0" borderId="1" xfId="0" applyNumberFormat="1" applyFont="1" applyFill="1" applyBorder="1">
      <alignment horizontal="left" vertical="center" wrapText="1"/>
    </xf>
    <xf numFmtId="4" fontId="5" fillId="0" borderId="1" xfId="0" applyNumberFormat="1" applyFont="1" applyBorder="1">
      <alignment horizontal="left" vertical="center" wrapText="1"/>
    </xf>
    <xf numFmtId="3" fontId="25" fillId="7" borderId="0" xfId="0" applyFont="1" applyFill="1" applyAlignment="1">
      <alignment horizontal="right" vertical="center" wrapText="1"/>
    </xf>
    <xf numFmtId="4" fontId="0" fillId="0" borderId="1" xfId="0" applyNumberFormat="1" applyFont="1" applyBorder="1">
      <alignment horizontal="left" vertical="center" wrapText="1"/>
    </xf>
    <xf numFmtId="3" fontId="0" fillId="0" borderId="1" xfId="0" applyBorder="1" applyAlignment="1">
      <alignment horizontal="center" vertical="center" wrapText="1"/>
    </xf>
    <xf numFmtId="3" fontId="0" fillId="0" borderId="0" xfId="0" applyBorder="1">
      <alignment horizontal="left" vertical="center" wrapText="1"/>
    </xf>
    <xf numFmtId="3" fontId="125" fillId="0" borderId="0" xfId="0" applyFont="1" applyBorder="1">
      <alignment horizontal="left" vertical="center" wrapText="1"/>
    </xf>
    <xf numFmtId="3" fontId="125" fillId="0" borderId="11" xfId="0" applyFont="1" applyBorder="1">
      <alignment horizontal="left" vertical="center" wrapText="1"/>
    </xf>
    <xf numFmtId="3" fontId="0" fillId="0" borderId="1" xfId="0" applyFill="1" applyBorder="1">
      <alignment horizontal="left" vertical="center" wrapText="1"/>
    </xf>
    <xf numFmtId="0" fontId="125" fillId="7" borderId="1" xfId="0" applyNumberFormat="1" applyFont="1" applyFill="1" applyBorder="1" applyAlignment="1">
      <alignment horizontal="center" vertical="center"/>
    </xf>
    <xf numFmtId="3" fontId="125" fillId="0" borderId="0" xfId="0" applyFont="1" applyAlignment="1">
      <alignment horizontal="center" vertical="center" wrapText="1"/>
    </xf>
    <xf numFmtId="0" fontId="0" fillId="0" borderId="1" xfId="0" applyNumberFormat="1" applyFont="1" applyBorder="1" applyAlignment="1"/>
    <xf numFmtId="170" fontId="0" fillId="0" borderId="0" xfId="0" applyNumberFormat="1" applyFont="1" applyFill="1" applyBorder="1" applyAlignment="1">
      <alignment horizontal="center" vertical="center" wrapText="1"/>
    </xf>
    <xf numFmtId="0" fontId="0" fillId="7" borderId="1" xfId="0" applyNumberFormat="1" applyFont="1" applyFill="1" applyBorder="1" applyAlignment="1"/>
    <xf numFmtId="0" fontId="0" fillId="7" borderId="1" xfId="0" applyNumberFormat="1" applyFont="1" applyFill="1" applyBorder="1" applyAlignment="1">
      <alignment horizontal="center" vertical="center"/>
    </xf>
    <xf numFmtId="9" fontId="125" fillId="0" borderId="2" xfId="5" applyFont="1" applyBorder="1" applyAlignment="1">
      <alignment horizontal="center" vertical="center" wrapText="1"/>
    </xf>
    <xf numFmtId="183" fontId="125" fillId="0" borderId="2" xfId="5" applyNumberFormat="1" applyFont="1" applyBorder="1" applyAlignment="1">
      <alignment horizontal="center" vertical="center" wrapText="1"/>
    </xf>
    <xf numFmtId="0" fontId="125" fillId="7" borderId="1" xfId="0" applyNumberFormat="1" applyFont="1" applyFill="1" applyBorder="1">
      <alignment horizontal="left" vertical="center" wrapText="1"/>
    </xf>
    <xf numFmtId="183" fontId="125" fillId="0" borderId="6" xfId="5" applyNumberFormat="1" applyFont="1" applyBorder="1" applyAlignment="1">
      <alignment horizontal="center" vertical="center" wrapText="1"/>
    </xf>
    <xf numFmtId="183" fontId="125" fillId="0" borderId="7" xfId="5" applyNumberFormat="1" applyFont="1" applyBorder="1" applyAlignment="1">
      <alignment horizontal="center" vertical="center" wrapText="1"/>
    </xf>
    <xf numFmtId="0" fontId="0" fillId="7" borderId="10" xfId="0" applyNumberFormat="1" applyFont="1" applyFill="1" applyBorder="1" applyAlignment="1"/>
    <xf numFmtId="3" fontId="0" fillId="0" borderId="0" xfId="0" applyAlignment="1">
      <alignment horizontal="left"/>
    </xf>
    <xf numFmtId="3" fontId="103" fillId="0" borderId="0" xfId="0" applyFont="1">
      <alignment horizontal="left" vertical="center" wrapText="1"/>
    </xf>
    <xf numFmtId="3" fontId="0" fillId="0" borderId="0" xfId="0" applyAlignment="1">
      <alignment horizontal="center" vertical="center" wrapText="1"/>
    </xf>
    <xf numFmtId="3" fontId="25" fillId="0" borderId="1" xfId="0" applyFont="1" applyBorder="1" applyAlignment="1">
      <alignment horizontal="left" vertical="top" wrapText="1"/>
    </xf>
    <xf numFmtId="3" fontId="6" fillId="2" borderId="0" xfId="0" applyFont="1" applyFill="1" applyAlignment="1">
      <alignment horizontal="center"/>
    </xf>
    <xf numFmtId="3" fontId="0" fillId="0" borderId="0" xfId="0" applyAlignment="1">
      <alignment horizontal="left"/>
    </xf>
    <xf numFmtId="3" fontId="25" fillId="0" borderId="1" xfId="0" applyFont="1" applyBorder="1" applyAlignment="1">
      <alignment horizontal="center" vertical="center" wrapText="1"/>
    </xf>
    <xf numFmtId="3" fontId="0" fillId="0" borderId="1" xfId="0" applyBorder="1" applyAlignment="1">
      <alignment horizontal="center" vertical="center" wrapText="1"/>
    </xf>
    <xf numFmtId="3" fontId="22" fillId="7" borderId="1" xfId="0" applyFont="1" applyFill="1" applyBorder="1">
      <alignment horizontal="left" vertical="center" wrapText="1"/>
    </xf>
    <xf numFmtId="3" fontId="0" fillId="0" borderId="0" xfId="0" applyAlignment="1">
      <alignment horizontal="center" vertical="center" wrapText="1"/>
    </xf>
    <xf numFmtId="164" fontId="89" fillId="0" borderId="1" xfId="0" applyNumberFormat="1" applyFont="1" applyBorder="1" applyAlignment="1">
      <alignment horizontal="center" vertical="top"/>
    </xf>
    <xf numFmtId="177" fontId="85" fillId="7" borderId="8" xfId="0" applyNumberFormat="1" applyFont="1" applyFill="1" applyBorder="1" applyAlignment="1">
      <alignment horizontal="center" vertical="center" wrapText="1"/>
    </xf>
    <xf numFmtId="15" fontId="88" fillId="0" borderId="1" xfId="0" applyNumberFormat="1" applyFont="1" applyBorder="1">
      <alignment horizontal="left" vertical="center" wrapText="1"/>
    </xf>
    <xf numFmtId="164" fontId="141" fillId="0" borderId="1" xfId="0" applyNumberFormat="1" applyFont="1" applyBorder="1" applyAlignment="1">
      <alignment horizontal="center" vertical="center" wrapText="1"/>
    </xf>
    <xf numFmtId="15" fontId="14" fillId="0" borderId="1" xfId="0" applyNumberFormat="1" applyFont="1" applyBorder="1">
      <alignment horizontal="left" vertical="center" wrapText="1"/>
    </xf>
    <xf numFmtId="165" fontId="16" fillId="0" borderId="0" xfId="0" applyNumberFormat="1" applyFont="1" applyAlignment="1">
      <alignment horizontal="right" vertical="center" wrapText="1"/>
    </xf>
    <xf numFmtId="188" fontId="22" fillId="7" borderId="1" xfId="0" applyNumberFormat="1" applyFont="1" applyFill="1" applyBorder="1">
      <alignment horizontal="left" vertical="center" wrapText="1"/>
    </xf>
    <xf numFmtId="0" fontId="5" fillId="0" borderId="0" xfId="9"/>
    <xf numFmtId="0" fontId="6" fillId="0" borderId="0" xfId="9" applyFont="1"/>
    <xf numFmtId="165" fontId="6" fillId="0" borderId="0" xfId="9" applyNumberFormat="1" applyFont="1"/>
    <xf numFmtId="14" fontId="6" fillId="0" borderId="0" xfId="9" applyNumberFormat="1" applyFont="1"/>
    <xf numFmtId="0" fontId="6" fillId="0" borderId="0" xfId="9" applyNumberFormat="1" applyFont="1"/>
    <xf numFmtId="49" fontId="6" fillId="0" borderId="0" xfId="9" applyNumberFormat="1" applyFont="1"/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ill="1"/>
    <xf numFmtId="0" fontId="5" fillId="0" borderId="0" xfId="9" applyFont="1" applyFill="1"/>
    <xf numFmtId="0" fontId="5" fillId="0" borderId="0" xfId="9" applyFont="1" applyFill="1" applyAlignment="1">
      <alignment horizontal="left"/>
    </xf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9" applyNumberFormat="1" applyFont="1" applyFill="1" applyBorder="1" applyAlignment="1">
      <alignment horizontal="right"/>
    </xf>
    <xf numFmtId="0" fontId="5" fillId="0" borderId="0" xfId="9" applyNumberFormat="1" applyFont="1" applyFill="1" applyBorder="1" applyAlignment="1">
      <alignment horizontal="right"/>
    </xf>
    <xf numFmtId="164" fontId="5" fillId="0" borderId="0" xfId="9" applyNumberFormat="1" applyFont="1" applyFill="1" applyBorder="1" applyAlignment="1">
      <alignment horizontal="left"/>
    </xf>
    <xf numFmtId="0" fontId="5" fillId="0" borderId="0" xfId="9" applyNumberFormat="1" applyFont="1" applyFill="1"/>
    <xf numFmtId="0" fontId="5" fillId="0" borderId="0" xfId="9" applyNumberFormat="1" applyFont="1" applyFill="1" applyAlignment="1">
      <alignment horizontal="left"/>
    </xf>
    <xf numFmtId="2" fontId="5" fillId="0" borderId="0" xfId="9" applyNumberFormat="1" applyFont="1"/>
    <xf numFmtId="0" fontId="5" fillId="0" borderId="0" xfId="9"/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ill="1"/>
    <xf numFmtId="0" fontId="5" fillId="0" borderId="0" xfId="9" applyFont="1" applyFill="1"/>
    <xf numFmtId="0" fontId="5" fillId="0" borderId="0" xfId="9" applyFont="1" applyFill="1" applyAlignment="1">
      <alignment horizontal="left"/>
    </xf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9" applyNumberFormat="1" applyFont="1" applyFill="1" applyBorder="1" applyAlignment="1">
      <alignment horizontal="right"/>
    </xf>
    <xf numFmtId="0" fontId="5" fillId="0" borderId="0" xfId="9" applyNumberFormat="1" applyFont="1" applyFill="1" applyBorder="1" applyAlignment="1">
      <alignment horizontal="right"/>
    </xf>
    <xf numFmtId="164" fontId="5" fillId="0" borderId="0" xfId="9" applyNumberFormat="1" applyFont="1" applyFill="1" applyBorder="1" applyAlignment="1">
      <alignment horizontal="left"/>
    </xf>
    <xf numFmtId="0" fontId="5" fillId="0" borderId="0" xfId="9" applyNumberFormat="1" applyFont="1" applyFill="1"/>
    <xf numFmtId="0" fontId="5" fillId="0" borderId="0" xfId="9" applyNumberFormat="1" applyFont="1" applyFill="1" applyAlignment="1">
      <alignment horizontal="left"/>
    </xf>
    <xf numFmtId="2" fontId="5" fillId="0" borderId="0" xfId="9" applyNumberFormat="1" applyFont="1"/>
    <xf numFmtId="0" fontId="5" fillId="0" borderId="0" xfId="9"/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ill="1"/>
    <xf numFmtId="0" fontId="5" fillId="0" borderId="0" xfId="9" applyFont="1" applyFill="1"/>
    <xf numFmtId="0" fontId="5" fillId="0" borderId="0" xfId="9" applyFont="1" applyFill="1" applyAlignment="1">
      <alignment horizontal="left"/>
    </xf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9" applyNumberFormat="1" applyFont="1" applyFill="1" applyBorder="1" applyAlignment="1">
      <alignment horizontal="right"/>
    </xf>
    <xf numFmtId="0" fontId="5" fillId="0" borderId="0" xfId="9" applyNumberFormat="1" applyFont="1" applyFill="1" applyBorder="1" applyAlignment="1">
      <alignment horizontal="right"/>
    </xf>
    <xf numFmtId="164" fontId="5" fillId="0" borderId="0" xfId="9" applyNumberFormat="1" applyFont="1" applyFill="1" applyBorder="1" applyAlignment="1">
      <alignment horizontal="left"/>
    </xf>
    <xf numFmtId="0" fontId="5" fillId="0" borderId="0" xfId="9" applyNumberFormat="1" applyFont="1" applyFill="1"/>
    <xf numFmtId="0" fontId="5" fillId="0" borderId="0" xfId="9" applyNumberFormat="1" applyFont="1" applyFill="1" applyAlignment="1">
      <alignment horizontal="left"/>
    </xf>
    <xf numFmtId="2" fontId="5" fillId="0" borderId="0" xfId="9" applyNumberFormat="1" applyFont="1"/>
    <xf numFmtId="0" fontId="5" fillId="0" borderId="0" xfId="9"/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ill="1"/>
    <xf numFmtId="0" fontId="5" fillId="0" borderId="0" xfId="9" applyFont="1" applyFill="1"/>
    <xf numFmtId="0" fontId="5" fillId="0" borderId="0" xfId="9" applyFont="1" applyFill="1" applyAlignment="1">
      <alignment horizontal="left"/>
    </xf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9" applyNumberFormat="1" applyFont="1" applyFill="1" applyBorder="1" applyAlignment="1">
      <alignment horizontal="right"/>
    </xf>
    <xf numFmtId="0" fontId="5" fillId="0" borderId="0" xfId="9" applyNumberFormat="1" applyFont="1" applyFill="1" applyBorder="1" applyAlignment="1">
      <alignment horizontal="right"/>
    </xf>
    <xf numFmtId="164" fontId="5" fillId="0" borderId="0" xfId="9" applyNumberFormat="1" applyFont="1" applyFill="1" applyBorder="1" applyAlignment="1">
      <alignment horizontal="left"/>
    </xf>
    <xf numFmtId="0" fontId="5" fillId="0" borderId="0" xfId="9" applyNumberFormat="1" applyFont="1" applyFill="1"/>
    <xf numFmtId="0" fontId="5" fillId="0" borderId="0" xfId="9" applyNumberFormat="1" applyFont="1" applyFill="1" applyAlignment="1">
      <alignment horizontal="left"/>
    </xf>
    <xf numFmtId="2" fontId="5" fillId="0" borderId="0" xfId="9" applyNumberFormat="1" applyFont="1"/>
    <xf numFmtId="0" fontId="5" fillId="0" borderId="0" xfId="9"/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ill="1"/>
    <xf numFmtId="0" fontId="5" fillId="0" borderId="0" xfId="9" applyFont="1" applyFill="1"/>
    <xf numFmtId="0" fontId="5" fillId="0" borderId="0" xfId="9" applyFont="1" applyFill="1" applyAlignment="1">
      <alignment horizontal="left"/>
    </xf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9" applyNumberFormat="1" applyFont="1" applyFill="1" applyBorder="1" applyAlignment="1">
      <alignment horizontal="right"/>
    </xf>
    <xf numFmtId="0" fontId="5" fillId="0" borderId="0" xfId="9" applyNumberFormat="1" applyFont="1" applyFill="1" applyBorder="1" applyAlignment="1">
      <alignment horizontal="right"/>
    </xf>
    <xf numFmtId="164" fontId="5" fillId="0" borderId="0" xfId="9" applyNumberFormat="1" applyFont="1" applyFill="1" applyBorder="1" applyAlignment="1">
      <alignment horizontal="left"/>
    </xf>
    <xf numFmtId="0" fontId="5" fillId="0" borderId="0" xfId="9" applyNumberFormat="1" applyFont="1" applyFill="1"/>
    <xf numFmtId="0" fontId="5" fillId="0" borderId="0" xfId="9" applyNumberFormat="1" applyFont="1" applyFill="1" applyAlignment="1">
      <alignment horizontal="left"/>
    </xf>
    <xf numFmtId="2" fontId="5" fillId="0" borderId="0" xfId="9" applyNumberFormat="1" applyFont="1"/>
    <xf numFmtId="0" fontId="5" fillId="0" borderId="0" xfId="9"/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ill="1"/>
    <xf numFmtId="0" fontId="5" fillId="0" borderId="0" xfId="9" applyFont="1" applyFill="1"/>
    <xf numFmtId="0" fontId="5" fillId="0" borderId="0" xfId="9" applyFont="1" applyFill="1" applyAlignment="1">
      <alignment horizontal="left"/>
    </xf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9" applyNumberFormat="1" applyFont="1" applyFill="1" applyBorder="1" applyAlignment="1">
      <alignment horizontal="right"/>
    </xf>
    <xf numFmtId="0" fontId="5" fillId="0" borderId="0" xfId="9" applyNumberFormat="1" applyFont="1" applyFill="1" applyBorder="1" applyAlignment="1">
      <alignment horizontal="right"/>
    </xf>
    <xf numFmtId="164" fontId="5" fillId="0" borderId="0" xfId="9" applyNumberFormat="1" applyFont="1" applyFill="1" applyBorder="1" applyAlignment="1">
      <alignment horizontal="left"/>
    </xf>
    <xf numFmtId="14" fontId="5" fillId="0" borderId="0" xfId="9" applyNumberFormat="1" applyFont="1" applyFill="1"/>
    <xf numFmtId="0" fontId="5" fillId="0" borderId="0" xfId="9"/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ill="1"/>
    <xf numFmtId="0" fontId="5" fillId="0" borderId="0" xfId="9" applyFont="1" applyFill="1"/>
    <xf numFmtId="0" fontId="5" fillId="0" borderId="0" xfId="9" applyFont="1" applyFill="1" applyAlignment="1">
      <alignment horizontal="left"/>
    </xf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9" applyNumberFormat="1" applyFont="1" applyFill="1" applyBorder="1" applyAlignment="1">
      <alignment horizontal="right"/>
    </xf>
    <xf numFmtId="0" fontId="5" fillId="0" borderId="0" xfId="9" applyNumberFormat="1" applyFont="1" applyFill="1" applyBorder="1" applyAlignment="1">
      <alignment horizontal="right"/>
    </xf>
    <xf numFmtId="164" fontId="5" fillId="0" borderId="0" xfId="9" applyNumberFormat="1" applyFont="1" applyFill="1" applyBorder="1" applyAlignment="1">
      <alignment horizontal="left"/>
    </xf>
    <xf numFmtId="0" fontId="5" fillId="0" borderId="0" xfId="9" applyNumberFormat="1" applyFont="1" applyFill="1"/>
    <xf numFmtId="0" fontId="5" fillId="0" borderId="0" xfId="9" applyNumberFormat="1" applyFont="1" applyFill="1" applyAlignment="1">
      <alignment horizontal="left"/>
    </xf>
    <xf numFmtId="0" fontId="5" fillId="0" borderId="0" xfId="9"/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ill="1"/>
    <xf numFmtId="0" fontId="5" fillId="0" borderId="0" xfId="9" applyFont="1" applyFill="1"/>
    <xf numFmtId="0" fontId="5" fillId="0" borderId="0" xfId="9" applyFont="1" applyFill="1" applyAlignment="1">
      <alignment horizontal="left"/>
    </xf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9" applyNumberFormat="1" applyFont="1" applyFill="1" applyBorder="1" applyAlignment="1">
      <alignment horizontal="right"/>
    </xf>
    <xf numFmtId="0" fontId="5" fillId="0" borderId="0" xfId="9" applyNumberFormat="1" applyFont="1" applyFill="1" applyBorder="1" applyAlignment="1">
      <alignment horizontal="right"/>
    </xf>
    <xf numFmtId="164" fontId="5" fillId="0" borderId="0" xfId="9" applyNumberFormat="1" applyFont="1" applyFill="1" applyBorder="1" applyAlignment="1">
      <alignment horizontal="left"/>
    </xf>
    <xf numFmtId="0" fontId="5" fillId="0" borderId="0" xfId="9" applyNumberFormat="1" applyFont="1" applyFill="1"/>
    <xf numFmtId="0" fontId="5" fillId="0" borderId="0" xfId="9" applyNumberFormat="1" applyFont="1" applyFill="1" applyAlignment="1">
      <alignment horizontal="left"/>
    </xf>
    <xf numFmtId="0" fontId="5" fillId="0" borderId="0" xfId="9"/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ill="1"/>
    <xf numFmtId="0" fontId="5" fillId="0" borderId="0" xfId="9" applyFont="1" applyFill="1"/>
    <xf numFmtId="0" fontId="5" fillId="0" borderId="0" xfId="9" applyFont="1" applyFill="1" applyAlignment="1">
      <alignment horizontal="left"/>
    </xf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9" applyNumberFormat="1" applyFont="1" applyFill="1" applyBorder="1" applyAlignment="1">
      <alignment horizontal="right"/>
    </xf>
    <xf numFmtId="0" fontId="5" fillId="0" borderId="0" xfId="9" applyNumberFormat="1" applyFont="1" applyFill="1" applyBorder="1" applyAlignment="1">
      <alignment horizontal="right"/>
    </xf>
    <xf numFmtId="164" fontId="5" fillId="0" borderId="0" xfId="9" applyNumberFormat="1" applyFont="1" applyFill="1" applyBorder="1" applyAlignment="1">
      <alignment horizontal="left"/>
    </xf>
    <xf numFmtId="0" fontId="5" fillId="0" borderId="0" xfId="9" applyNumberFormat="1" applyFont="1" applyFill="1"/>
    <xf numFmtId="0" fontId="5" fillId="0" borderId="0" xfId="9" applyNumberFormat="1" applyFont="1" applyFill="1" applyAlignment="1">
      <alignment horizontal="left"/>
    </xf>
    <xf numFmtId="0" fontId="5" fillId="0" borderId="0" xfId="9"/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ill="1"/>
    <xf numFmtId="0" fontId="5" fillId="0" borderId="0" xfId="9" applyFont="1" applyFill="1"/>
    <xf numFmtId="0" fontId="5" fillId="0" borderId="0" xfId="9" applyFont="1" applyFill="1" applyAlignment="1">
      <alignment horizontal="left"/>
    </xf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9" applyNumberFormat="1" applyFont="1" applyFill="1" applyBorder="1" applyAlignment="1">
      <alignment horizontal="right"/>
    </xf>
    <xf numFmtId="0" fontId="5" fillId="0" borderId="0" xfId="9" applyNumberFormat="1" applyFont="1" applyFill="1" applyBorder="1" applyAlignment="1">
      <alignment horizontal="right"/>
    </xf>
    <xf numFmtId="164" fontId="5" fillId="0" borderId="0" xfId="9" applyNumberFormat="1" applyFont="1" applyFill="1" applyBorder="1" applyAlignment="1">
      <alignment horizontal="left"/>
    </xf>
    <xf numFmtId="0" fontId="5" fillId="0" borderId="0" xfId="9" applyNumberFormat="1" applyFont="1" applyFill="1"/>
    <xf numFmtId="0" fontId="5" fillId="0" borderId="0" xfId="9" applyNumberFormat="1" applyFont="1" applyFill="1" applyAlignment="1">
      <alignment horizontal="left"/>
    </xf>
    <xf numFmtId="2" fontId="5" fillId="0" borderId="0" xfId="9" applyNumberFormat="1" applyFont="1"/>
    <xf numFmtId="0" fontId="5" fillId="0" borderId="0" xfId="9"/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ill="1"/>
    <xf numFmtId="0" fontId="5" fillId="0" borderId="0" xfId="9" applyFont="1" applyFill="1"/>
    <xf numFmtId="0" fontId="5" fillId="0" borderId="0" xfId="9" applyFont="1" applyFill="1" applyAlignment="1">
      <alignment horizontal="left"/>
    </xf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9" applyNumberFormat="1" applyFont="1" applyFill="1" applyBorder="1" applyAlignment="1">
      <alignment horizontal="right"/>
    </xf>
    <xf numFmtId="0" fontId="5" fillId="0" borderId="0" xfId="9" applyNumberFormat="1" applyFont="1" applyFill="1" applyBorder="1" applyAlignment="1">
      <alignment horizontal="right"/>
    </xf>
    <xf numFmtId="164" fontId="5" fillId="0" borderId="0" xfId="9" applyNumberFormat="1" applyFont="1" applyFill="1" applyBorder="1" applyAlignment="1">
      <alignment horizontal="left"/>
    </xf>
    <xf numFmtId="0" fontId="5" fillId="0" borderId="0" xfId="9" applyNumberFormat="1" applyFont="1" applyFill="1"/>
    <xf numFmtId="0" fontId="5" fillId="0" borderId="0" xfId="9" applyNumberFormat="1" applyFont="1" applyFill="1" applyAlignment="1">
      <alignment horizontal="left"/>
    </xf>
    <xf numFmtId="0" fontId="5" fillId="0" borderId="0" xfId="9"/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ill="1"/>
    <xf numFmtId="0" fontId="5" fillId="0" borderId="0" xfId="9" applyFont="1" applyFill="1"/>
    <xf numFmtId="0" fontId="5" fillId="0" borderId="0" xfId="9" applyFont="1" applyFill="1" applyAlignment="1">
      <alignment horizontal="left"/>
    </xf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9" applyNumberFormat="1" applyFont="1" applyFill="1" applyBorder="1" applyAlignment="1">
      <alignment horizontal="right"/>
    </xf>
    <xf numFmtId="0" fontId="5" fillId="0" borderId="0" xfId="9" applyNumberFormat="1" applyFont="1" applyFill="1" applyBorder="1" applyAlignment="1">
      <alignment horizontal="right"/>
    </xf>
    <xf numFmtId="164" fontId="5" fillId="0" borderId="0" xfId="9" applyNumberFormat="1" applyFont="1" applyFill="1" applyBorder="1" applyAlignment="1">
      <alignment horizontal="left"/>
    </xf>
    <xf numFmtId="0" fontId="5" fillId="0" borderId="0" xfId="9" applyNumberFormat="1" applyFont="1" applyFill="1"/>
    <xf numFmtId="0" fontId="5" fillId="0" borderId="0" xfId="9" applyNumberFormat="1" applyFont="1" applyFill="1" applyAlignment="1">
      <alignment horizontal="left"/>
    </xf>
    <xf numFmtId="0" fontId="5" fillId="0" borderId="0" xfId="9"/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ill="1"/>
    <xf numFmtId="0" fontId="5" fillId="0" borderId="0" xfId="9" applyFont="1" applyFill="1"/>
    <xf numFmtId="0" fontId="5" fillId="0" borderId="0" xfId="9" applyFont="1" applyFill="1" applyAlignment="1">
      <alignment horizontal="left"/>
    </xf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9" applyNumberFormat="1" applyFont="1" applyFill="1" applyBorder="1" applyAlignment="1">
      <alignment horizontal="right"/>
    </xf>
    <xf numFmtId="0" fontId="5" fillId="0" borderId="0" xfId="9" applyNumberFormat="1" applyFont="1" applyFill="1" applyBorder="1" applyAlignment="1">
      <alignment horizontal="right"/>
    </xf>
    <xf numFmtId="164" fontId="5" fillId="0" borderId="0" xfId="9" applyNumberFormat="1" applyFont="1" applyFill="1" applyBorder="1" applyAlignment="1">
      <alignment horizontal="left"/>
    </xf>
    <xf numFmtId="0" fontId="5" fillId="0" borderId="0" xfId="9" applyNumberFormat="1" applyFont="1" applyFill="1"/>
    <xf numFmtId="0" fontId="5" fillId="0" borderId="0" xfId="9" applyNumberFormat="1" applyFont="1" applyFill="1" applyAlignment="1">
      <alignment horizontal="left"/>
    </xf>
    <xf numFmtId="0" fontId="5" fillId="0" borderId="0" xfId="9" applyFont="1" applyAlignment="1">
      <alignment horizontal="center" vertical="center"/>
    </xf>
    <xf numFmtId="0" fontId="5" fillId="0" borderId="0" xfId="9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0" xfId="71" applyNumberFormat="1" applyFont="1" applyAlignment="1">
      <alignment horizontal="center" vertical="center"/>
    </xf>
    <xf numFmtId="3" fontId="0" fillId="0" borderId="0" xfId="0" applyNumberFormat="1">
      <alignment horizontal="left" vertical="center" wrapText="1"/>
    </xf>
    <xf numFmtId="0" fontId="5" fillId="0" borderId="0" xfId="9" applyNumberFormat="1" applyFont="1" applyFill="1" applyBorder="1"/>
    <xf numFmtId="0" fontId="5" fillId="0" borderId="0" xfId="9" applyFont="1"/>
    <xf numFmtId="14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Fill="1" applyBorder="1" applyAlignment="1">
      <alignment horizontal="left"/>
    </xf>
    <xf numFmtId="0" fontId="5" fillId="0" borderId="0" xfId="9" applyNumberFormat="1" applyFont="1" applyFill="1"/>
    <xf numFmtId="0" fontId="5" fillId="0" borderId="0" xfId="9" applyNumberFormat="1" applyFont="1" applyFill="1" applyAlignment="1">
      <alignment horizontal="left"/>
    </xf>
    <xf numFmtId="2" fontId="5" fillId="0" borderId="0" xfId="9" applyNumberFormat="1" applyFont="1"/>
    <xf numFmtId="0" fontId="5" fillId="0" borderId="0" xfId="9"/>
    <xf numFmtId="0" fontId="5" fillId="0" borderId="0" xfId="9" applyNumberFormat="1"/>
    <xf numFmtId="49" fontId="5" fillId="0" borderId="0" xfId="9" applyNumberFormat="1"/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164" fontId="5" fillId="0" borderId="0" xfId="9" applyNumberFormat="1" applyFont="1"/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ill="1"/>
    <xf numFmtId="0" fontId="5" fillId="0" borderId="0" xfId="9" applyFont="1" applyFill="1"/>
    <xf numFmtId="0" fontId="5" fillId="0" borderId="0" xfId="9" applyFont="1" applyFill="1" applyAlignment="1">
      <alignment horizontal="left"/>
    </xf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9" applyNumberFormat="1" applyFont="1" applyFill="1" applyBorder="1" applyAlignment="1">
      <alignment horizontal="right"/>
    </xf>
    <xf numFmtId="0" fontId="5" fillId="0" borderId="0" xfId="9" applyNumberFormat="1" applyFont="1" applyFill="1" applyBorder="1" applyAlignment="1">
      <alignment horizontal="right"/>
    </xf>
    <xf numFmtId="164" fontId="5" fillId="0" borderId="0" xfId="9" applyNumberFormat="1" applyFont="1" applyAlignment="1">
      <alignment horizontal="left"/>
    </xf>
    <xf numFmtId="164" fontId="5" fillId="0" borderId="0" xfId="9" applyNumberFormat="1" applyFont="1" applyFill="1" applyBorder="1" applyAlignment="1">
      <alignment horizontal="left"/>
    </xf>
    <xf numFmtId="0" fontId="5" fillId="0" borderId="0" xfId="9" applyNumberFormat="1" applyFont="1" applyFill="1"/>
    <xf numFmtId="0" fontId="5" fillId="0" borderId="0" xfId="9" applyNumberFormat="1" applyFont="1" applyFill="1" applyAlignment="1">
      <alignment horizontal="left"/>
    </xf>
    <xf numFmtId="2" fontId="5" fillId="0" borderId="0" xfId="9" applyNumberFormat="1" applyFont="1"/>
    <xf numFmtId="0" fontId="5" fillId="0" borderId="1" xfId="9" applyNumberFormat="1" applyFont="1" applyBorder="1"/>
    <xf numFmtId="0" fontId="5" fillId="0" borderId="1" xfId="9" applyNumberFormat="1" applyFont="1" applyBorder="1" applyAlignment="1">
      <alignment horizontal="center" vertical="center"/>
    </xf>
    <xf numFmtId="164" fontId="5" fillId="0" borderId="1" xfId="71" applyNumberFormat="1" applyFont="1" applyBorder="1"/>
    <xf numFmtId="15" fontId="6" fillId="8" borderId="2" xfId="0" applyNumberFormat="1" applyFont="1" applyFill="1" applyBorder="1">
      <alignment horizontal="left" vertical="center" wrapText="1"/>
    </xf>
    <xf numFmtId="164" fontId="25" fillId="0" borderId="1" xfId="0" applyNumberFormat="1" applyFont="1" applyFill="1" applyBorder="1" applyAlignment="1">
      <alignment horizontal="center" vertical="center" wrapText="1"/>
    </xf>
    <xf numFmtId="164" fontId="25" fillId="0" borderId="5" xfId="0" applyNumberFormat="1" applyFont="1" applyFill="1" applyBorder="1" applyAlignment="1">
      <alignment horizontal="center" vertical="center" wrapText="1"/>
    </xf>
    <xf numFmtId="170" fontId="5" fillId="0" borderId="1" xfId="0" applyNumberFormat="1" applyFont="1" applyBorder="1" applyAlignment="1">
      <alignment horizontal="center" vertical="center" wrapText="1"/>
    </xf>
    <xf numFmtId="170" fontId="5" fillId="0" borderId="1" xfId="0" applyNumberFormat="1" applyFont="1" applyBorder="1" applyAlignment="1">
      <alignment horizontal="center"/>
    </xf>
    <xf numFmtId="170" fontId="5" fillId="0" borderId="5" xfId="0" applyNumberFormat="1" applyFont="1" applyBorder="1" applyAlignment="1">
      <alignment horizontal="center" vertical="center" wrapText="1"/>
    </xf>
    <xf numFmtId="170" fontId="0" fillId="0" borderId="1" xfId="0" applyNumberFormat="1" applyFont="1" applyBorder="1" applyAlignment="1">
      <alignment horizontal="center" vertical="center" wrapText="1"/>
    </xf>
    <xf numFmtId="15" fontId="6" fillId="8" borderId="2" xfId="0" applyNumberFormat="1" applyFont="1" applyFill="1" applyBorder="1" applyAlignment="1">
      <alignment vertical="center" wrapText="1"/>
    </xf>
    <xf numFmtId="1" fontId="6" fillId="8" borderId="2" xfId="0" applyNumberFormat="1" applyFont="1" applyFill="1" applyBorder="1" applyAlignment="1">
      <alignment vertical="center" wrapText="1"/>
    </xf>
    <xf numFmtId="1" fontId="6" fillId="8" borderId="1" xfId="0" applyNumberFormat="1" applyFont="1" applyFill="1" applyBorder="1" applyAlignment="1">
      <alignment vertical="center" wrapText="1"/>
    </xf>
    <xf numFmtId="170" fontId="0" fillId="0" borderId="1" xfId="0" applyNumberFormat="1" applyFont="1" applyFill="1" applyBorder="1" applyAlignment="1">
      <alignment horizontal="center" vertical="center" wrapText="1"/>
    </xf>
    <xf numFmtId="170" fontId="5" fillId="0" borderId="1" xfId="0" applyNumberFormat="1" applyFont="1" applyFill="1" applyBorder="1" applyAlignment="1">
      <alignment horizontal="center" vertical="center" wrapText="1"/>
    </xf>
    <xf numFmtId="170" fontId="5" fillId="0" borderId="1" xfId="0" applyNumberFormat="1" applyFont="1" applyFill="1" applyBorder="1" applyAlignment="1">
      <alignment horizontal="center"/>
    </xf>
    <xf numFmtId="170" fontId="5" fillId="0" borderId="5" xfId="0" applyNumberFormat="1" applyFont="1" applyFill="1" applyBorder="1" applyAlignment="1">
      <alignment horizontal="center" vertical="center" wrapText="1"/>
    </xf>
    <xf numFmtId="3" fontId="102" fillId="54" borderId="1" xfId="0" applyFont="1" applyFill="1" applyBorder="1" applyAlignment="1">
      <alignment horizontal="right" vertical="center"/>
    </xf>
    <xf numFmtId="3" fontId="102" fillId="54" borderId="1" xfId="0" applyFont="1" applyFill="1" applyBorder="1" applyAlignment="1">
      <alignment horizontal="right" vertical="center" wrapText="1"/>
    </xf>
    <xf numFmtId="3" fontId="102" fillId="54" borderId="1" xfId="0" applyFont="1" applyFill="1" applyBorder="1" applyAlignment="1">
      <alignment horizontal="right" wrapText="1"/>
    </xf>
    <xf numFmtId="3" fontId="102" fillId="54" borderId="1" xfId="0" applyFont="1" applyFill="1" applyBorder="1" applyAlignment="1">
      <alignment horizontal="center"/>
    </xf>
    <xf numFmtId="3" fontId="6" fillId="54" borderId="1" xfId="0" applyFont="1" applyFill="1" applyBorder="1" applyAlignment="1">
      <alignment horizontal="center"/>
    </xf>
    <xf numFmtId="20" fontId="103" fillId="0" borderId="7" xfId="0" applyNumberFormat="1" applyFont="1" applyBorder="1">
      <alignment horizontal="left" vertical="center" wrapText="1"/>
    </xf>
    <xf numFmtId="3" fontId="102" fillId="0" borderId="13" xfId="0" applyFont="1" applyBorder="1" applyAlignment="1">
      <alignment horizontal="center"/>
    </xf>
    <xf numFmtId="3" fontId="5" fillId="0" borderId="1" xfId="0" applyFont="1" applyBorder="1" applyAlignment="1">
      <alignment horizontal="left" vertical="center"/>
    </xf>
    <xf numFmtId="3" fontId="0" fillId="54" borderId="1" xfId="0" applyFill="1" applyBorder="1" applyAlignment="1">
      <alignment horizontal="left" vertical="top" wrapText="1"/>
    </xf>
    <xf numFmtId="3" fontId="0" fillId="54" borderId="1" xfId="0" applyFill="1" applyBorder="1" applyAlignment="1">
      <alignment horizontal="left" vertical="center"/>
    </xf>
    <xf numFmtId="3" fontId="0" fillId="54" borderId="1" xfId="0" applyFill="1" applyBorder="1">
      <alignment horizontal="left" vertical="center" wrapText="1"/>
    </xf>
    <xf numFmtId="0" fontId="5" fillId="54" borderId="1" xfId="0" applyNumberFormat="1" applyFont="1" applyFill="1" applyBorder="1" applyAlignment="1"/>
    <xf numFmtId="0" fontId="5" fillId="54" borderId="1" xfId="9" applyNumberFormat="1" applyFont="1" applyFill="1" applyBorder="1"/>
    <xf numFmtId="3" fontId="5" fillId="54" borderId="1" xfId="0" applyFont="1" applyFill="1" applyBorder="1" applyAlignment="1">
      <alignment horizontal="left" vertical="center"/>
    </xf>
    <xf numFmtId="3" fontId="0" fillId="0" borderId="1" xfId="0" applyBorder="1" applyAlignment="1">
      <alignment horizontal="left" vertical="center"/>
    </xf>
    <xf numFmtId="3" fontId="0" fillId="0" borderId="1" xfId="0" applyNumberFormat="1" applyBorder="1">
      <alignment horizontal="left" vertical="center" wrapText="1"/>
    </xf>
    <xf numFmtId="0" fontId="5" fillId="0" borderId="1" xfId="9" applyNumberFormat="1" applyFont="1" applyFill="1" applyBorder="1"/>
    <xf numFmtId="177" fontId="22" fillId="0" borderId="0" xfId="0" applyNumberFormat="1" applyFont="1" applyFill="1" applyBorder="1">
      <alignment horizontal="left" vertical="center" wrapText="1"/>
    </xf>
    <xf numFmtId="188" fontId="22" fillId="7" borderId="8" xfId="0" applyNumberFormat="1" applyFont="1" applyFill="1" applyBorder="1">
      <alignment horizontal="left" vertical="center" wrapText="1"/>
    </xf>
    <xf numFmtId="1" fontId="5" fillId="54" borderId="1" xfId="9" applyNumberFormat="1" applyFont="1" applyFill="1" applyBorder="1"/>
    <xf numFmtId="3" fontId="24" fillId="54" borderId="1" xfId="0" applyFont="1" applyFill="1" applyBorder="1">
      <alignment horizontal="left" vertical="center" wrapText="1"/>
    </xf>
    <xf numFmtId="2" fontId="6" fillId="54" borderId="1" xfId="0" applyNumberFormat="1" applyFont="1" applyFill="1" applyBorder="1" applyAlignment="1">
      <alignment horizontal="center" vertical="center" wrapText="1"/>
    </xf>
    <xf numFmtId="164" fontId="8" fillId="54" borderId="1" xfId="0" applyNumberFormat="1" applyFont="1" applyFill="1" applyBorder="1" applyAlignment="1">
      <alignment horizontal="center" vertical="center" wrapText="1"/>
    </xf>
    <xf numFmtId="2" fontId="6" fillId="54" borderId="5" xfId="0" applyNumberFormat="1" applyFont="1" applyFill="1" applyBorder="1" applyAlignment="1">
      <alignment horizontal="center" vertical="center" wrapText="1"/>
    </xf>
    <xf numFmtId="170" fontId="14" fillId="54" borderId="1" xfId="0" applyNumberFormat="1" applyFont="1" applyFill="1" applyBorder="1" applyAlignment="1">
      <alignment horizontal="center"/>
    </xf>
    <xf numFmtId="170" fontId="14" fillId="54" borderId="1" xfId="0" applyNumberFormat="1" applyFont="1" applyFill="1" applyBorder="1" applyAlignment="1">
      <alignment horizontal="left" wrapText="1"/>
    </xf>
    <xf numFmtId="15" fontId="6" fillId="54" borderId="1" xfId="0" applyNumberFormat="1" applyFont="1" applyFill="1" applyBorder="1">
      <alignment horizontal="left" vertical="center" wrapText="1"/>
    </xf>
    <xf numFmtId="2" fontId="17" fillId="54" borderId="1" xfId="0" applyNumberFormat="1" applyFont="1" applyFill="1" applyBorder="1" applyAlignment="1">
      <alignment horizontal="center"/>
    </xf>
    <xf numFmtId="3" fontId="6" fillId="54" borderId="1" xfId="0" applyFont="1" applyFill="1" applyBorder="1">
      <alignment horizontal="left" vertical="center" wrapText="1"/>
    </xf>
    <xf numFmtId="177" fontId="22" fillId="0" borderId="1" xfId="0" applyNumberFormat="1" applyFont="1" applyFill="1" applyBorder="1">
      <alignment horizontal="left" vertical="center" wrapText="1"/>
    </xf>
    <xf numFmtId="3" fontId="24" fillId="0" borderId="0" xfId="0" applyFont="1" applyBorder="1">
      <alignment horizontal="left" vertical="center" wrapText="1"/>
    </xf>
    <xf numFmtId="0" fontId="5" fillId="0" borderId="0" xfId="0" applyNumberFormat="1" applyFont="1" applyAlignment="1">
      <alignment horizontal="center"/>
    </xf>
    <xf numFmtId="0" fontId="5" fillId="0" borderId="0" xfId="9" applyNumberFormat="1" applyFont="1" applyFill="1" applyAlignment="1">
      <alignment horizontal="center"/>
    </xf>
    <xf numFmtId="3" fontId="0" fillId="0" borderId="0" xfId="0" applyNumberFormat="1" applyAlignment="1">
      <alignment horizontal="center" wrapText="1"/>
    </xf>
    <xf numFmtId="3" fontId="24" fillId="0" borderId="1" xfId="0" applyFont="1" applyFill="1" applyBorder="1">
      <alignment horizontal="left" vertical="center" wrapText="1"/>
    </xf>
    <xf numFmtId="3" fontId="0" fillId="0" borderId="1" xfId="0" applyNumberFormat="1" applyBorder="1" applyAlignment="1">
      <alignment horizontal="center" wrapText="1"/>
    </xf>
    <xf numFmtId="0" fontId="5" fillId="0" borderId="1" xfId="9" applyNumberFormat="1" applyFont="1" applyFill="1" applyBorder="1" applyAlignment="1">
      <alignment horizontal="center"/>
    </xf>
    <xf numFmtId="0" fontId="5" fillId="0" borderId="1" xfId="9" applyNumberFormat="1" applyFont="1" applyFill="1" applyBorder="1" applyAlignment="1">
      <alignment horizontal="center" vertical="center"/>
    </xf>
    <xf numFmtId="15" fontId="14" fillId="10" borderId="1" xfId="0" applyNumberFormat="1" applyFont="1" applyFill="1" applyBorder="1" applyAlignment="1">
      <alignment horizontal="center" vertical="center" wrapText="1"/>
    </xf>
    <xf numFmtId="164" fontId="14" fillId="10" borderId="2" xfId="0" applyNumberFormat="1" applyFont="1" applyFill="1" applyBorder="1" applyAlignment="1">
      <alignment horizontal="center" vertical="center" wrapText="1"/>
    </xf>
    <xf numFmtId="164" fontId="14" fillId="10" borderId="2" xfId="0" applyNumberFormat="1" applyFont="1" applyFill="1" applyBorder="1">
      <alignment horizontal="left" vertical="center" wrapText="1"/>
    </xf>
    <xf numFmtId="164" fontId="14" fillId="0" borderId="0" xfId="0" applyNumberFormat="1" applyFont="1">
      <alignment horizontal="left" vertical="center" wrapText="1"/>
    </xf>
    <xf numFmtId="0" fontId="23" fillId="0" borderId="10" xfId="6" applyFill="1" applyBorder="1">
      <alignment horizontal="left" vertical="center" wrapText="1"/>
    </xf>
    <xf numFmtId="0" fontId="34" fillId="0" borderId="0" xfId="0" applyNumberFormat="1" applyFont="1" applyBorder="1">
      <alignment horizontal="left" vertical="center" wrapText="1"/>
    </xf>
    <xf numFmtId="3" fontId="0" fillId="0" borderId="10" xfId="0" applyFill="1" applyBorder="1" applyAlignment="1">
      <alignment horizontal="center" wrapText="1"/>
    </xf>
    <xf numFmtId="0" fontId="15" fillId="0" borderId="0" xfId="0" applyNumberFormat="1" applyFont="1">
      <alignment horizontal="left" vertical="center" wrapText="1"/>
    </xf>
    <xf numFmtId="164" fontId="0" fillId="0" borderId="0" xfId="0" applyNumberFormat="1" applyFill="1" applyBorder="1">
      <alignment horizontal="left" vertical="center" wrapText="1"/>
    </xf>
    <xf numFmtId="14" fontId="0" fillId="7" borderId="1" xfId="0" applyNumberFormat="1" applyFill="1" applyBorder="1">
      <alignment horizontal="left" vertical="center" wrapText="1"/>
    </xf>
    <xf numFmtId="174" fontId="31" fillId="7" borderId="15" xfId="0" applyNumberFormat="1" applyFont="1" applyFill="1" applyBorder="1" applyAlignment="1">
      <alignment horizontal="center" vertical="center"/>
    </xf>
    <xf numFmtId="2" fontId="31" fillId="7" borderId="2" xfId="0" applyNumberFormat="1" applyFont="1" applyFill="1" applyBorder="1" applyAlignment="1">
      <alignment horizontal="center" vertical="center"/>
    </xf>
    <xf numFmtId="1" fontId="31" fillId="7" borderId="6" xfId="0" applyNumberFormat="1" applyFont="1" applyFill="1" applyBorder="1" applyAlignment="1">
      <alignment horizontal="center" vertical="center"/>
    </xf>
    <xf numFmtId="0" fontId="5" fillId="0" borderId="0" xfId="9" applyFill="1" applyAlignment="1">
      <alignment horizontal="center" vertical="center"/>
    </xf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ont="1" applyFill="1"/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ont="1" applyFill="1"/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5" fillId="0" borderId="0" xfId="9"/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ont="1" applyFill="1"/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ont="1" applyFill="1"/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5" fillId="0" borderId="0" xfId="9" applyFont="1"/>
    <xf numFmtId="14" fontId="5" fillId="0" borderId="0" xfId="9" applyNumberFormat="1" applyFont="1"/>
    <xf numFmtId="0" fontId="5" fillId="0" borderId="0" xfId="9" applyNumberFormat="1" applyFont="1"/>
    <xf numFmtId="1" fontId="5" fillId="0" borderId="0" xfId="9" applyNumberFormat="1" applyFont="1"/>
    <xf numFmtId="14" fontId="5" fillId="0" borderId="0" xfId="9" applyNumberFormat="1" applyFont="1" applyAlignment="1">
      <alignment horizontal="right"/>
    </xf>
    <xf numFmtId="0" fontId="5" fillId="0" borderId="0" xfId="9" applyFont="1" applyAlignment="1">
      <alignment horizontal="left"/>
    </xf>
    <xf numFmtId="0" fontId="5" fillId="0" borderId="0" xfId="9" applyFill="1" applyBorder="1" applyAlignment="1">
      <alignment horizontal="left"/>
    </xf>
    <xf numFmtId="0" fontId="5" fillId="0" borderId="0" xfId="9" applyNumberFormat="1" applyFont="1" applyAlignment="1">
      <alignment horizontal="left"/>
    </xf>
    <xf numFmtId="0" fontId="5" fillId="0" borderId="0" xfId="9" applyFont="1" applyFill="1"/>
    <xf numFmtId="0" fontId="5" fillId="0" borderId="0" xfId="9" applyNumberFormat="1" applyFont="1" applyFill="1" applyBorder="1" applyAlignment="1">
      <alignment horizontal="left"/>
    </xf>
    <xf numFmtId="175" fontId="5" fillId="0" borderId="0" xfId="9" applyNumberFormat="1" applyFont="1" applyFill="1" applyBorder="1" applyAlignment="1">
      <alignment horizontal="left"/>
    </xf>
    <xf numFmtId="0" fontId="5" fillId="0" borderId="1" xfId="9" applyFill="1" applyBorder="1" applyAlignment="1">
      <alignment horizontal="center" vertical="center"/>
    </xf>
    <xf numFmtId="174" fontId="25" fillId="0" borderId="1" xfId="0" applyNumberFormat="1" applyFont="1" applyBorder="1" applyAlignment="1">
      <alignment horizontal="center" wrapText="1"/>
    </xf>
    <xf numFmtId="174" fontId="25" fillId="0" borderId="1" xfId="0" applyNumberFormat="1" applyFont="1" applyFill="1" applyBorder="1" applyAlignment="1">
      <alignment horizontal="center" wrapText="1"/>
    </xf>
    <xf numFmtId="2" fontId="25" fillId="0" borderId="1" xfId="0" applyNumberFormat="1" applyFont="1" applyBorder="1" applyAlignment="1">
      <alignment horizontal="center" wrapText="1"/>
    </xf>
    <xf numFmtId="170" fontId="25" fillId="0" borderId="1" xfId="0" applyNumberFormat="1" applyFont="1" applyFill="1" applyBorder="1" applyAlignment="1">
      <alignment horizontal="center" wrapText="1"/>
    </xf>
    <xf numFmtId="20" fontId="25" fillId="0" borderId="1" xfId="0" applyNumberFormat="1" applyFont="1" applyBorder="1" applyAlignment="1">
      <alignment horizontal="center" wrapText="1"/>
    </xf>
    <xf numFmtId="4" fontId="25" fillId="0" borderId="1" xfId="0" applyNumberFormat="1" applyFont="1" applyBorder="1" applyAlignment="1">
      <alignment horizontal="center" wrapText="1"/>
    </xf>
    <xf numFmtId="4" fontId="0" fillId="0" borderId="1" xfId="0" applyNumberFormat="1" applyBorder="1" applyAlignment="1">
      <alignment horizontal="center" wrapText="1"/>
    </xf>
    <xf numFmtId="14" fontId="39" fillId="0" borderId="0" xfId="0" applyNumberFormat="1" applyFont="1" applyAlignment="1">
      <alignment horizontal="center" vertical="center" wrapText="1"/>
    </xf>
    <xf numFmtId="14" fontId="25" fillId="7" borderId="0" xfId="0" applyNumberFormat="1" applyFont="1" applyFill="1">
      <alignment horizontal="left" vertical="center" wrapText="1"/>
    </xf>
    <xf numFmtId="3" fontId="25" fillId="0" borderId="1" xfId="0" applyFont="1" applyBorder="1" applyAlignment="1">
      <alignment horizontal="center" vertical="center" wrapText="1"/>
    </xf>
    <xf numFmtId="0" fontId="5" fillId="0" borderId="0" xfId="71" applyFont="1"/>
    <xf numFmtId="14" fontId="5" fillId="0" borderId="0" xfId="71" applyNumberFormat="1" applyFont="1"/>
    <xf numFmtId="0" fontId="5" fillId="0" borderId="0" xfId="71" applyNumberFormat="1" applyFont="1"/>
    <xf numFmtId="1" fontId="5" fillId="0" borderId="0" xfId="71" applyNumberFormat="1" applyFont="1"/>
    <xf numFmtId="14" fontId="5" fillId="0" borderId="0" xfId="71" applyNumberFormat="1" applyFont="1" applyAlignment="1">
      <alignment horizontal="right"/>
    </xf>
    <xf numFmtId="0" fontId="5" fillId="0" borderId="0" xfId="71" applyFont="1" applyAlignment="1">
      <alignment horizontal="left"/>
    </xf>
    <xf numFmtId="0" fontId="136" fillId="0" borderId="0" xfId="71" applyFill="1" applyBorder="1" applyAlignment="1">
      <alignment horizontal="left"/>
    </xf>
    <xf numFmtId="0" fontId="5" fillId="0" borderId="0" xfId="71" applyNumberFormat="1" applyFont="1" applyAlignment="1">
      <alignment horizontal="left"/>
    </xf>
    <xf numFmtId="0" fontId="5" fillId="0" borderId="0" xfId="71" applyFont="1" applyFill="1"/>
    <xf numFmtId="0" fontId="5" fillId="0" borderId="0" xfId="71" applyNumberFormat="1" applyFont="1" applyFill="1" applyBorder="1" applyAlignment="1">
      <alignment horizontal="left"/>
    </xf>
    <xf numFmtId="175" fontId="5" fillId="0" borderId="0" xfId="71" applyNumberFormat="1" applyFont="1" applyFill="1" applyBorder="1" applyAlignment="1">
      <alignment horizontal="left"/>
    </xf>
    <xf numFmtId="0" fontId="5" fillId="0" borderId="0" xfId="71" applyFont="1"/>
    <xf numFmtId="14" fontId="5" fillId="0" borderId="0" xfId="71" applyNumberFormat="1" applyFont="1"/>
    <xf numFmtId="0" fontId="5" fillId="0" borderId="0" xfId="71" applyNumberFormat="1" applyFont="1"/>
    <xf numFmtId="1" fontId="5" fillId="0" borderId="0" xfId="71" applyNumberFormat="1" applyFont="1"/>
    <xf numFmtId="14" fontId="5" fillId="0" borderId="0" xfId="71" applyNumberFormat="1" applyFont="1" applyAlignment="1">
      <alignment horizontal="right"/>
    </xf>
    <xf numFmtId="0" fontId="5" fillId="0" borderId="0" xfId="71" applyFont="1" applyAlignment="1">
      <alignment horizontal="left"/>
    </xf>
    <xf numFmtId="0" fontId="136" fillId="0" borderId="0" xfId="71" applyFill="1" applyBorder="1" applyAlignment="1">
      <alignment horizontal="left"/>
    </xf>
    <xf numFmtId="0" fontId="5" fillId="0" borderId="0" xfId="71" applyNumberFormat="1" applyFont="1" applyAlignment="1">
      <alignment horizontal="left"/>
    </xf>
    <xf numFmtId="0" fontId="5" fillId="0" borderId="0" xfId="71" applyFont="1" applyFill="1"/>
    <xf numFmtId="0" fontId="5" fillId="0" borderId="0" xfId="71" applyNumberFormat="1" applyFont="1" applyFill="1" applyBorder="1" applyAlignment="1">
      <alignment horizontal="left"/>
    </xf>
    <xf numFmtId="175" fontId="5" fillId="0" borderId="0" xfId="71" applyNumberFormat="1" applyFont="1" applyFill="1" applyBorder="1" applyAlignment="1">
      <alignment horizontal="left"/>
    </xf>
    <xf numFmtId="0" fontId="136" fillId="0" borderId="0" xfId="71"/>
    <xf numFmtId="0" fontId="5" fillId="0" borderId="0" xfId="71" applyFont="1"/>
    <xf numFmtId="14" fontId="5" fillId="0" borderId="0" xfId="71" applyNumberFormat="1" applyFont="1"/>
    <xf numFmtId="0" fontId="5" fillId="0" borderId="0" xfId="71" applyNumberFormat="1" applyFont="1"/>
    <xf numFmtId="1" fontId="5" fillId="0" borderId="0" xfId="71" applyNumberFormat="1" applyFont="1"/>
    <xf numFmtId="14" fontId="5" fillId="0" borderId="0" xfId="71" applyNumberFormat="1" applyFont="1" applyAlignment="1">
      <alignment horizontal="right"/>
    </xf>
    <xf numFmtId="0" fontId="5" fillId="0" borderId="0" xfId="71" applyFont="1" applyAlignment="1">
      <alignment horizontal="left"/>
    </xf>
    <xf numFmtId="0" fontId="136" fillId="0" borderId="0" xfId="71" applyFill="1" applyBorder="1" applyAlignment="1">
      <alignment horizontal="left"/>
    </xf>
    <xf numFmtId="0" fontId="5" fillId="0" borderId="0" xfId="71" applyNumberFormat="1" applyFont="1" applyAlignment="1">
      <alignment horizontal="left"/>
    </xf>
    <xf numFmtId="0" fontId="136" fillId="0" borderId="0" xfId="71" applyFill="1"/>
    <xf numFmtId="0" fontId="5" fillId="0" borderId="0" xfId="71" applyFont="1" applyFill="1"/>
    <xf numFmtId="0" fontId="5" fillId="0" borderId="0" xfId="71" applyNumberFormat="1" applyFont="1" applyFill="1" applyBorder="1" applyAlignment="1">
      <alignment horizontal="left"/>
    </xf>
    <xf numFmtId="175" fontId="5" fillId="0" borderId="0" xfId="71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71" applyNumberFormat="1" applyFont="1" applyFill="1" applyBorder="1" applyAlignment="1">
      <alignment horizontal="right"/>
    </xf>
    <xf numFmtId="0" fontId="5" fillId="0" borderId="0" xfId="71" applyNumberFormat="1" applyFont="1" applyFill="1" applyBorder="1" applyAlignment="1">
      <alignment horizontal="right"/>
    </xf>
    <xf numFmtId="164" fontId="5" fillId="0" borderId="0" xfId="71" applyNumberFormat="1" applyFont="1" applyFill="1" applyBorder="1" applyAlignment="1">
      <alignment horizontal="left"/>
    </xf>
    <xf numFmtId="0" fontId="5" fillId="0" borderId="0" xfId="71" applyFont="1"/>
    <xf numFmtId="14" fontId="5" fillId="0" borderId="0" xfId="71" applyNumberFormat="1" applyFont="1"/>
    <xf numFmtId="0" fontId="5" fillId="0" borderId="0" xfId="71" applyNumberFormat="1" applyFont="1"/>
    <xf numFmtId="1" fontId="5" fillId="0" borderId="0" xfId="71" applyNumberFormat="1" applyFont="1"/>
    <xf numFmtId="14" fontId="5" fillId="0" borderId="0" xfId="71" applyNumberFormat="1" applyFont="1" applyAlignment="1">
      <alignment horizontal="right"/>
    </xf>
    <xf numFmtId="0" fontId="5" fillId="0" borderId="0" xfId="71" applyFont="1" applyAlignment="1">
      <alignment horizontal="left"/>
    </xf>
    <xf numFmtId="0" fontId="136" fillId="0" borderId="0" xfId="71" applyFill="1" applyBorder="1" applyAlignment="1">
      <alignment horizontal="left"/>
    </xf>
    <xf numFmtId="0" fontId="5" fillId="0" borderId="0" xfId="71" applyNumberFormat="1" applyFont="1" applyAlignment="1">
      <alignment horizontal="left"/>
    </xf>
    <xf numFmtId="0" fontId="5" fillId="0" borderId="0" xfId="71" applyFont="1" applyFill="1"/>
    <xf numFmtId="0" fontId="5" fillId="0" borderId="0" xfId="71" applyNumberFormat="1" applyFont="1" applyFill="1" applyBorder="1" applyAlignment="1">
      <alignment horizontal="left"/>
    </xf>
    <xf numFmtId="175" fontId="5" fillId="0" borderId="0" xfId="71" applyNumberFormat="1" applyFont="1" applyFill="1" applyBorder="1" applyAlignment="1">
      <alignment horizontal="left"/>
    </xf>
    <xf numFmtId="0" fontId="136" fillId="0" borderId="0" xfId="71"/>
    <xf numFmtId="0" fontId="5" fillId="0" borderId="0" xfId="71" applyFont="1"/>
    <xf numFmtId="14" fontId="5" fillId="0" borderId="0" xfId="71" applyNumberFormat="1" applyFont="1"/>
    <xf numFmtId="0" fontId="5" fillId="0" borderId="0" xfId="71" applyNumberFormat="1" applyFont="1"/>
    <xf numFmtId="1" fontId="5" fillId="0" borderId="0" xfId="71" applyNumberFormat="1" applyFont="1"/>
    <xf numFmtId="14" fontId="5" fillId="0" borderId="0" xfId="71" applyNumberFormat="1" applyFont="1" applyAlignment="1">
      <alignment horizontal="right"/>
    </xf>
    <xf numFmtId="0" fontId="5" fillId="0" borderId="0" xfId="71" applyFont="1" applyAlignment="1">
      <alignment horizontal="left"/>
    </xf>
    <xf numFmtId="0" fontId="136" fillId="0" borderId="0" xfId="71" applyFill="1" applyBorder="1" applyAlignment="1">
      <alignment horizontal="left"/>
    </xf>
    <xf numFmtId="0" fontId="5" fillId="0" borderId="0" xfId="71" applyNumberFormat="1" applyFont="1" applyAlignment="1">
      <alignment horizontal="left"/>
    </xf>
    <xf numFmtId="0" fontId="5" fillId="0" borderId="0" xfId="71" applyFont="1" applyFill="1"/>
    <xf numFmtId="0" fontId="5" fillId="0" borderId="0" xfId="71" applyNumberFormat="1" applyFont="1" applyFill="1" applyBorder="1" applyAlignment="1">
      <alignment horizontal="left"/>
    </xf>
    <xf numFmtId="175" fontId="5" fillId="0" borderId="0" xfId="71" applyNumberFormat="1" applyFont="1" applyFill="1" applyBorder="1" applyAlignment="1">
      <alignment horizontal="left"/>
    </xf>
    <xf numFmtId="0" fontId="136" fillId="0" borderId="0" xfId="71"/>
    <xf numFmtId="0" fontId="5" fillId="0" borderId="0" xfId="71" applyFont="1"/>
    <xf numFmtId="14" fontId="5" fillId="0" borderId="0" xfId="71" applyNumberFormat="1" applyFont="1"/>
    <xf numFmtId="0" fontId="5" fillId="0" borderId="0" xfId="71" applyNumberFormat="1" applyFont="1"/>
    <xf numFmtId="1" fontId="5" fillId="0" borderId="0" xfId="71" applyNumberFormat="1" applyFont="1"/>
    <xf numFmtId="14" fontId="5" fillId="0" borderId="0" xfId="71" applyNumberFormat="1" applyFont="1" applyAlignment="1">
      <alignment horizontal="right"/>
    </xf>
    <xf numFmtId="0" fontId="5" fillId="0" borderId="0" xfId="71" applyFont="1" applyAlignment="1">
      <alignment horizontal="left"/>
    </xf>
    <xf numFmtId="0" fontId="136" fillId="0" borderId="0" xfId="71" applyFill="1" applyBorder="1" applyAlignment="1">
      <alignment horizontal="left"/>
    </xf>
    <xf numFmtId="0" fontId="5" fillId="0" borderId="0" xfId="71" applyNumberFormat="1" applyFont="1" applyAlignment="1">
      <alignment horizontal="left"/>
    </xf>
    <xf numFmtId="0" fontId="5" fillId="0" borderId="0" xfId="71" applyFont="1" applyFill="1"/>
    <xf numFmtId="0" fontId="5" fillId="0" borderId="0" xfId="71" applyFont="1" applyFill="1" applyAlignment="1">
      <alignment horizontal="left"/>
    </xf>
    <xf numFmtId="0" fontId="5" fillId="0" borderId="0" xfId="71" applyNumberFormat="1" applyFont="1" applyFill="1" applyBorder="1" applyAlignment="1">
      <alignment horizontal="left"/>
    </xf>
    <xf numFmtId="175" fontId="5" fillId="0" borderId="0" xfId="71" applyNumberFormat="1" applyFont="1" applyFill="1" applyBorder="1" applyAlignment="1">
      <alignment horizontal="left"/>
    </xf>
    <xf numFmtId="0" fontId="136" fillId="0" borderId="0" xfId="71"/>
    <xf numFmtId="0" fontId="5" fillId="0" borderId="0" xfId="71" applyFont="1"/>
    <xf numFmtId="14" fontId="5" fillId="0" borderId="0" xfId="71" applyNumberFormat="1" applyFont="1"/>
    <xf numFmtId="0" fontId="5" fillId="0" borderId="0" xfId="71" applyNumberFormat="1" applyFont="1"/>
    <xf numFmtId="1" fontId="5" fillId="0" borderId="0" xfId="71" applyNumberFormat="1" applyFont="1"/>
    <xf numFmtId="14" fontId="5" fillId="0" borderId="0" xfId="71" applyNumberFormat="1" applyFont="1" applyAlignment="1">
      <alignment horizontal="right"/>
    </xf>
    <xf numFmtId="0" fontId="5" fillId="0" borderId="0" xfId="71" applyFont="1" applyAlignment="1">
      <alignment horizontal="left"/>
    </xf>
    <xf numFmtId="0" fontId="136" fillId="0" borderId="0" xfId="71" applyFill="1" applyBorder="1" applyAlignment="1">
      <alignment horizontal="left"/>
    </xf>
    <xf numFmtId="0" fontId="5" fillId="0" borderId="0" xfId="71" applyNumberFormat="1" applyFont="1" applyAlignment="1">
      <alignment horizontal="left"/>
    </xf>
    <xf numFmtId="0" fontId="5" fillId="0" borderId="0" xfId="71" applyFont="1" applyFill="1"/>
    <xf numFmtId="0" fontId="5" fillId="0" borderId="0" xfId="71" applyFont="1" applyFill="1" applyAlignment="1">
      <alignment horizontal="left"/>
    </xf>
    <xf numFmtId="0" fontId="5" fillId="0" borderId="0" xfId="71" applyNumberFormat="1" applyFont="1" applyFill="1" applyBorder="1" applyAlignment="1">
      <alignment horizontal="left"/>
    </xf>
    <xf numFmtId="175" fontId="5" fillId="0" borderId="0" xfId="71" applyNumberFormat="1" applyFont="1" applyFill="1" applyBorder="1" applyAlignment="1">
      <alignment horizontal="left"/>
    </xf>
    <xf numFmtId="0" fontId="136" fillId="0" borderId="0" xfId="71"/>
    <xf numFmtId="0" fontId="5" fillId="0" borderId="0" xfId="71" applyFont="1"/>
    <xf numFmtId="14" fontId="5" fillId="0" borderId="0" xfId="71" applyNumberFormat="1" applyFont="1"/>
    <xf numFmtId="0" fontId="5" fillId="0" borderId="0" xfId="71" applyNumberFormat="1" applyFont="1"/>
    <xf numFmtId="1" fontId="5" fillId="0" borderId="0" xfId="71" applyNumberFormat="1" applyFont="1"/>
    <xf numFmtId="14" fontId="5" fillId="0" borderId="0" xfId="71" applyNumberFormat="1" applyFont="1" applyAlignment="1">
      <alignment horizontal="right"/>
    </xf>
    <xf numFmtId="0" fontId="5" fillId="0" borderId="0" xfId="71" applyFont="1" applyAlignment="1">
      <alignment horizontal="left"/>
    </xf>
    <xf numFmtId="0" fontId="136" fillId="0" borderId="0" xfId="71" applyFill="1" applyBorder="1" applyAlignment="1">
      <alignment horizontal="left"/>
    </xf>
    <xf numFmtId="0" fontId="5" fillId="0" borderId="0" xfId="71" applyNumberFormat="1" applyFont="1" applyAlignment="1">
      <alignment horizontal="left"/>
    </xf>
    <xf numFmtId="0" fontId="5" fillId="0" borderId="0" xfId="71" applyFont="1" applyFill="1"/>
    <xf numFmtId="0" fontId="5" fillId="0" borderId="0" xfId="71" applyFont="1" applyFill="1" applyAlignment="1">
      <alignment horizontal="left"/>
    </xf>
    <xf numFmtId="0" fontId="5" fillId="0" borderId="0" xfId="71" applyNumberFormat="1" applyFont="1" applyFill="1" applyBorder="1" applyAlignment="1">
      <alignment horizontal="left"/>
    </xf>
    <xf numFmtId="175" fontId="5" fillId="0" borderId="0" xfId="71" applyNumberFormat="1" applyFont="1" applyFill="1" applyBorder="1" applyAlignment="1">
      <alignment horizontal="left"/>
    </xf>
    <xf numFmtId="0" fontId="5" fillId="0" borderId="0" xfId="71" applyFont="1"/>
    <xf numFmtId="0" fontId="5" fillId="0" borderId="0" xfId="71" applyNumberFormat="1" applyFont="1" applyFill="1" applyBorder="1" applyAlignment="1">
      <alignment horizontal="left"/>
    </xf>
    <xf numFmtId="14" fontId="6" fillId="0" borderId="0" xfId="0" applyNumberFormat="1" applyFont="1" applyAlignment="1">
      <alignment horizontal="center"/>
    </xf>
    <xf numFmtId="1" fontId="0" fillId="0" borderId="0" xfId="0" applyNumberFormat="1" applyBorder="1">
      <alignment horizontal="left" vertical="center" wrapText="1"/>
    </xf>
    <xf numFmtId="1" fontId="0" fillId="0" borderId="8" xfId="0" applyNumberFormat="1" applyBorder="1">
      <alignment horizontal="left" vertical="center" wrapText="1"/>
    </xf>
    <xf numFmtId="1" fontId="5" fillId="0" borderId="1" xfId="9" applyNumberFormat="1" applyFill="1" applyBorder="1" applyAlignment="1">
      <alignment horizontal="center" vertical="center"/>
    </xf>
    <xf numFmtId="0" fontId="136" fillId="0" borderId="0" xfId="71" applyFill="1" applyBorder="1" applyAlignment="1">
      <alignment horizontal="left"/>
    </xf>
    <xf numFmtId="14" fontId="5" fillId="0" borderId="0" xfId="71" applyNumberFormat="1" applyFont="1" applyAlignment="1">
      <alignment horizontal="right"/>
    </xf>
    <xf numFmtId="0" fontId="5" fillId="0" borderId="0" xfId="71" applyFont="1"/>
    <xf numFmtId="0" fontId="5" fillId="0" borderId="0" xfId="71" applyNumberFormat="1" applyFont="1"/>
    <xf numFmtId="14" fontId="5" fillId="0" borderId="0" xfId="71" applyNumberFormat="1" applyFont="1"/>
    <xf numFmtId="1" fontId="5" fillId="0" borderId="0" xfId="71" applyNumberFormat="1" applyFont="1"/>
    <xf numFmtId="0" fontId="5" fillId="0" borderId="0" xfId="71" applyFont="1" applyAlignment="1">
      <alignment horizontal="left"/>
    </xf>
    <xf numFmtId="0" fontId="5" fillId="0" borderId="1" xfId="71" applyNumberFormat="1" applyFont="1" applyBorder="1"/>
    <xf numFmtId="0" fontId="5" fillId="0" borderId="0" xfId="71" applyNumberFormat="1" applyFont="1" applyAlignment="1">
      <alignment horizontal="left"/>
    </xf>
    <xf numFmtId="0" fontId="5" fillId="0" borderId="1" xfId="71" applyNumberFormat="1" applyFont="1" applyFill="1" applyBorder="1"/>
    <xf numFmtId="3" fontId="0" fillId="0" borderId="0" xfId="0">
      <alignment horizontal="left" vertical="center" wrapText="1"/>
    </xf>
    <xf numFmtId="3" fontId="0" fillId="0" borderId="1" xfId="0" applyBorder="1">
      <alignment horizontal="left" vertical="center" wrapText="1"/>
    </xf>
    <xf numFmtId="177" fontId="5" fillId="0" borderId="0" xfId="0" applyNumberFormat="1" applyFont="1" applyAlignment="1">
      <alignment horizontal="left"/>
    </xf>
    <xf numFmtId="1" fontId="5" fillId="0" borderId="1" xfId="0" applyNumberFormat="1" applyFont="1" applyBorder="1" applyAlignment="1">
      <alignment horizontal="center"/>
    </xf>
    <xf numFmtId="1" fontId="0" fillId="0" borderId="1" xfId="0" applyNumberFormat="1" applyBorder="1">
      <alignment horizontal="left" vertical="center" wrapText="1"/>
    </xf>
    <xf numFmtId="1" fontId="5" fillId="7" borderId="1" xfId="0" applyNumberFormat="1" applyFont="1" applyFill="1" applyBorder="1" applyAlignment="1">
      <alignment horizontal="center" vertical="center"/>
    </xf>
    <xf numFmtId="3" fontId="38" fillId="0" borderId="0" xfId="0" applyFont="1">
      <alignment horizontal="left" vertical="center" wrapText="1"/>
    </xf>
    <xf numFmtId="0" fontId="5" fillId="0" borderId="1" xfId="0" applyNumberFormat="1" applyFont="1" applyBorder="1" applyAlignment="1">
      <alignment horizontal="center" vertical="center"/>
    </xf>
    <xf numFmtId="170" fontId="25" fillId="0" borderId="1" xfId="0" applyNumberFormat="1" applyFont="1" applyBorder="1" applyAlignment="1">
      <alignment horizontal="center" vertical="center"/>
    </xf>
    <xf numFmtId="3" fontId="0" fillId="0" borderId="1" xfId="0" applyBorder="1" applyAlignment="1">
      <alignment horizontal="center" vertical="center" wrapText="1"/>
    </xf>
    <xf numFmtId="0" fontId="5" fillId="0" borderId="1" xfId="9" applyBorder="1" applyAlignment="1">
      <alignment horizontal="center" vertical="center"/>
    </xf>
    <xf numFmtId="3" fontId="0" fillId="0" borderId="0" xfId="0" applyAlignment="1">
      <alignment horizontal="center" vertical="center" wrapText="1"/>
    </xf>
    <xf numFmtId="164" fontId="25" fillId="0" borderId="1" xfId="0" applyNumberFormat="1" applyFont="1" applyBorder="1" applyAlignment="1">
      <alignment horizontal="center" vertical="center"/>
    </xf>
    <xf numFmtId="0" fontId="5" fillId="0" borderId="0" xfId="9" applyAlignment="1">
      <alignment horizontal="left"/>
    </xf>
    <xf numFmtId="3" fontId="5" fillId="0" borderId="1" xfId="0" applyFont="1" applyBorder="1" applyAlignment="1">
      <alignment horizontal="center" vertical="center" wrapText="1"/>
    </xf>
    <xf numFmtId="1" fontId="5" fillId="0" borderId="1" xfId="9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0" fontId="5" fillId="0" borderId="1" xfId="7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1" fontId="5" fillId="0" borderId="1" xfId="71" applyNumberFormat="1" applyFont="1" applyBorder="1" applyAlignment="1">
      <alignment horizontal="center" vertical="center"/>
    </xf>
    <xf numFmtId="3" fontId="0" fillId="0" borderId="0" xfId="0" applyBorder="1">
      <alignment horizontal="left" vertical="center" wrapText="1"/>
    </xf>
    <xf numFmtId="0" fontId="5" fillId="0" borderId="1" xfId="9" applyNumberFormat="1" applyFont="1" applyBorder="1"/>
    <xf numFmtId="3" fontId="0" fillId="54" borderId="1" xfId="0" applyFill="1" applyBorder="1">
      <alignment horizontal="left" vertical="center" wrapText="1"/>
    </xf>
    <xf numFmtId="0" fontId="5" fillId="0" borderId="1" xfId="9" applyFill="1" applyBorder="1" applyAlignment="1">
      <alignment horizontal="center" vertical="center"/>
    </xf>
    <xf numFmtId="3" fontId="22" fillId="7" borderId="1" xfId="0" applyFont="1" applyFill="1" applyBorder="1" applyAlignment="1">
      <alignment horizontal="center" vertical="center" wrapText="1"/>
    </xf>
    <xf numFmtId="14" fontId="5" fillId="0" borderId="0" xfId="0" applyNumberFormat="1" applyFont="1" applyAlignment="1">
      <alignment horizontal="center"/>
    </xf>
    <xf numFmtId="1" fontId="5" fillId="0" borderId="1" xfId="0" applyNumberFormat="1" applyFont="1" applyBorder="1" applyAlignment="1"/>
    <xf numFmtId="1" fontId="0" fillId="0" borderId="1" xfId="0" applyNumberFormat="1" applyBorder="1" applyAlignment="1"/>
    <xf numFmtId="0" fontId="5" fillId="0" borderId="0" xfId="71" applyFont="1"/>
    <xf numFmtId="14" fontId="5" fillId="0" borderId="0" xfId="71" applyNumberFormat="1" applyFont="1"/>
    <xf numFmtId="1" fontId="5" fillId="0" borderId="0" xfId="71" applyNumberFormat="1" applyFont="1"/>
    <xf numFmtId="14" fontId="5" fillId="0" borderId="0" xfId="71" applyNumberFormat="1" applyFont="1" applyAlignment="1">
      <alignment horizontal="right"/>
    </xf>
    <xf numFmtId="0" fontId="5" fillId="0" borderId="0" xfId="71" applyFont="1" applyAlignment="1">
      <alignment horizontal="left"/>
    </xf>
    <xf numFmtId="0" fontId="136" fillId="0" borderId="0" xfId="71" applyFill="1" applyBorder="1" applyAlignment="1">
      <alignment horizontal="left"/>
    </xf>
    <xf numFmtId="0" fontId="5" fillId="0" borderId="0" xfId="71" applyNumberFormat="1" applyFont="1"/>
    <xf numFmtId="0" fontId="5" fillId="0" borderId="0" xfId="71" applyNumberFormat="1" applyFont="1" applyAlignment="1">
      <alignment horizontal="left"/>
    </xf>
    <xf numFmtId="0" fontId="136" fillId="0" borderId="0" xfId="71" applyFill="1"/>
    <xf numFmtId="0" fontId="5" fillId="0" borderId="0" xfId="71" applyFont="1" applyFill="1"/>
    <xf numFmtId="0" fontId="5" fillId="0" borderId="0" xfId="71" applyFont="1" applyFill="1" applyAlignment="1">
      <alignment horizontal="left"/>
    </xf>
    <xf numFmtId="0" fontId="5" fillId="0" borderId="0" xfId="71" applyNumberFormat="1" applyFont="1" applyFill="1" applyBorder="1" applyAlignment="1">
      <alignment horizontal="left"/>
    </xf>
    <xf numFmtId="175" fontId="5" fillId="0" borderId="0" xfId="71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71" applyNumberFormat="1" applyFont="1" applyFill="1" applyBorder="1" applyAlignment="1">
      <alignment horizontal="right"/>
    </xf>
    <xf numFmtId="0" fontId="5" fillId="0" borderId="0" xfId="71" applyNumberFormat="1" applyFont="1" applyFill="1" applyBorder="1" applyAlignment="1">
      <alignment horizontal="right"/>
    </xf>
    <xf numFmtId="164" fontId="5" fillId="0" borderId="0" xfId="71" applyNumberFormat="1" applyFont="1" applyFill="1" applyBorder="1" applyAlignment="1">
      <alignment horizontal="left"/>
    </xf>
    <xf numFmtId="0" fontId="5" fillId="0" borderId="0" xfId="71" applyNumberFormat="1" applyFont="1" applyFill="1"/>
    <xf numFmtId="0" fontId="5" fillId="0" borderId="0" xfId="71" applyFont="1"/>
    <xf numFmtId="14" fontId="5" fillId="0" borderId="0" xfId="71" applyNumberFormat="1" applyFont="1"/>
    <xf numFmtId="1" fontId="5" fillId="0" borderId="0" xfId="71" applyNumberFormat="1" applyFont="1"/>
    <xf numFmtId="14" fontId="5" fillId="0" borderId="0" xfId="71" applyNumberFormat="1" applyFont="1" applyAlignment="1">
      <alignment horizontal="right"/>
    </xf>
    <xf numFmtId="0" fontId="5" fillId="0" borderId="0" xfId="71" applyFont="1" applyAlignment="1">
      <alignment horizontal="left"/>
    </xf>
    <xf numFmtId="0" fontId="136" fillId="0" borderId="0" xfId="71" applyFill="1" applyBorder="1" applyAlignment="1">
      <alignment horizontal="left"/>
    </xf>
    <xf numFmtId="0" fontId="5" fillId="0" borderId="0" xfId="71" applyNumberFormat="1" applyFont="1"/>
    <xf numFmtId="0" fontId="5" fillId="0" borderId="0" xfId="71" applyNumberFormat="1" applyFont="1" applyAlignment="1">
      <alignment horizontal="left"/>
    </xf>
    <xf numFmtId="0" fontId="136" fillId="0" borderId="0" xfId="71" applyFill="1"/>
    <xf numFmtId="0" fontId="5" fillId="0" borderId="0" xfId="71" applyFont="1" applyFill="1"/>
    <xf numFmtId="0" fontId="5" fillId="0" borderId="0" xfId="71" applyFont="1" applyFill="1" applyAlignment="1">
      <alignment horizontal="left"/>
    </xf>
    <xf numFmtId="0" fontId="5" fillId="0" borderId="0" xfId="71" applyNumberFormat="1" applyFont="1" applyFill="1" applyBorder="1" applyAlignment="1">
      <alignment horizontal="left"/>
    </xf>
    <xf numFmtId="175" fontId="5" fillId="0" borderId="0" xfId="71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71" applyNumberFormat="1" applyFont="1" applyFill="1" applyBorder="1" applyAlignment="1">
      <alignment horizontal="right"/>
    </xf>
    <xf numFmtId="0" fontId="5" fillId="0" borderId="0" xfId="71" applyNumberFormat="1" applyFont="1" applyFill="1" applyBorder="1" applyAlignment="1">
      <alignment horizontal="right"/>
    </xf>
    <xf numFmtId="164" fontId="5" fillId="0" borderId="0" xfId="71" applyNumberFormat="1" applyFont="1" applyFill="1" applyBorder="1" applyAlignment="1">
      <alignment horizontal="left"/>
    </xf>
    <xf numFmtId="0" fontId="5" fillId="0" borderId="0" xfId="71" applyNumberFormat="1" applyFont="1" applyFill="1"/>
    <xf numFmtId="0" fontId="136" fillId="0" borderId="0" xfId="71"/>
    <xf numFmtId="0" fontId="5" fillId="0" borderId="0" xfId="71" applyFont="1"/>
    <xf numFmtId="14" fontId="5" fillId="0" borderId="0" xfId="71" applyNumberFormat="1" applyFont="1"/>
    <xf numFmtId="0" fontId="5" fillId="0" borderId="0" xfId="71" applyNumberFormat="1" applyFont="1"/>
    <xf numFmtId="1" fontId="5" fillId="0" borderId="0" xfId="71" applyNumberFormat="1" applyFont="1"/>
    <xf numFmtId="14" fontId="5" fillId="0" borderId="0" xfId="71" applyNumberFormat="1" applyFont="1" applyAlignment="1">
      <alignment horizontal="right"/>
    </xf>
    <xf numFmtId="0" fontId="5" fillId="0" borderId="0" xfId="71" applyFont="1" applyAlignment="1">
      <alignment horizontal="left"/>
    </xf>
    <xf numFmtId="0" fontId="136" fillId="0" borderId="0" xfId="71" applyFill="1" applyBorder="1" applyAlignment="1">
      <alignment horizontal="left"/>
    </xf>
    <xf numFmtId="0" fontId="5" fillId="0" borderId="0" xfId="71" applyNumberFormat="1" applyFont="1" applyAlignment="1">
      <alignment horizontal="left"/>
    </xf>
    <xf numFmtId="0" fontId="136" fillId="0" borderId="0" xfId="71" applyFill="1"/>
    <xf numFmtId="0" fontId="5" fillId="0" borderId="0" xfId="71" applyFont="1" applyFill="1"/>
    <xf numFmtId="0" fontId="5" fillId="0" borderId="0" xfId="71" applyNumberFormat="1" applyFont="1" applyFill="1" applyBorder="1" applyAlignment="1">
      <alignment horizontal="left"/>
    </xf>
    <xf numFmtId="175" fontId="5" fillId="0" borderId="0" xfId="71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71" applyNumberFormat="1" applyFont="1" applyFill="1" applyBorder="1" applyAlignment="1">
      <alignment horizontal="right"/>
    </xf>
    <xf numFmtId="0" fontId="5" fillId="0" borderId="0" xfId="71" applyNumberFormat="1" applyFont="1" applyFill="1" applyBorder="1" applyAlignment="1">
      <alignment horizontal="right"/>
    </xf>
    <xf numFmtId="164" fontId="5" fillId="0" borderId="0" xfId="71" applyNumberFormat="1" applyFont="1" applyFill="1" applyBorder="1" applyAlignment="1">
      <alignment horizontal="left"/>
    </xf>
    <xf numFmtId="0" fontId="5" fillId="0" borderId="0" xfId="71" applyNumberFormat="1" applyFont="1" applyFill="1"/>
    <xf numFmtId="0" fontId="136" fillId="0" borderId="0" xfId="71"/>
    <xf numFmtId="0" fontId="5" fillId="0" borderId="0" xfId="71" applyFont="1"/>
    <xf numFmtId="14" fontId="5" fillId="0" borderId="0" xfId="71" applyNumberFormat="1" applyFont="1"/>
    <xf numFmtId="0" fontId="5" fillId="0" borderId="0" xfId="71" applyNumberFormat="1" applyFont="1"/>
    <xf numFmtId="1" fontId="5" fillId="0" borderId="0" xfId="71" applyNumberFormat="1" applyFont="1"/>
    <xf numFmtId="14" fontId="5" fillId="0" borderId="0" xfId="71" applyNumberFormat="1" applyFont="1" applyAlignment="1">
      <alignment horizontal="right"/>
    </xf>
    <xf numFmtId="0" fontId="5" fillId="0" borderId="0" xfId="71" applyFont="1" applyAlignment="1">
      <alignment horizontal="left"/>
    </xf>
    <xf numFmtId="0" fontId="136" fillId="0" borderId="0" xfId="71" applyFill="1" applyBorder="1" applyAlignment="1">
      <alignment horizontal="left"/>
    </xf>
    <xf numFmtId="0" fontId="5" fillId="0" borderId="0" xfId="71" applyNumberFormat="1" applyFont="1" applyAlignment="1">
      <alignment horizontal="left"/>
    </xf>
    <xf numFmtId="0" fontId="136" fillId="0" borderId="0" xfId="71" applyFill="1"/>
    <xf numFmtId="0" fontId="5" fillId="0" borderId="0" xfId="71" applyFont="1" applyFill="1"/>
    <xf numFmtId="0" fontId="5" fillId="0" borderId="0" xfId="71" applyNumberFormat="1" applyFont="1" applyFill="1" applyBorder="1" applyAlignment="1">
      <alignment horizontal="left"/>
    </xf>
    <xf numFmtId="175" fontId="5" fillId="0" borderId="0" xfId="71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71" applyNumberFormat="1" applyFont="1" applyFill="1" applyBorder="1" applyAlignment="1">
      <alignment horizontal="right"/>
    </xf>
    <xf numFmtId="0" fontId="5" fillId="0" borderId="0" xfId="71" applyNumberFormat="1" applyFont="1" applyFill="1" applyBorder="1" applyAlignment="1">
      <alignment horizontal="right"/>
    </xf>
    <xf numFmtId="164" fontId="5" fillId="0" borderId="0" xfId="71" applyNumberFormat="1" applyFont="1" applyFill="1" applyBorder="1" applyAlignment="1">
      <alignment horizontal="left"/>
    </xf>
    <xf numFmtId="0" fontId="136" fillId="0" borderId="0" xfId="71"/>
    <xf numFmtId="0" fontId="5" fillId="0" borderId="0" xfId="71" applyFont="1"/>
    <xf numFmtId="14" fontId="5" fillId="0" borderId="0" xfId="71" applyNumberFormat="1" applyFont="1"/>
    <xf numFmtId="0" fontId="5" fillId="0" borderId="0" xfId="71" applyNumberFormat="1" applyFont="1"/>
    <xf numFmtId="1" fontId="5" fillId="0" borderId="0" xfId="71" applyNumberFormat="1" applyFont="1"/>
    <xf numFmtId="14" fontId="5" fillId="0" borderId="0" xfId="71" applyNumberFormat="1" applyFont="1" applyAlignment="1">
      <alignment horizontal="right"/>
    </xf>
    <xf numFmtId="0" fontId="5" fillId="0" borderId="0" xfId="71" applyFont="1" applyAlignment="1">
      <alignment horizontal="left"/>
    </xf>
    <xf numFmtId="0" fontId="136" fillId="0" borderId="0" xfId="71" applyFill="1" applyBorder="1" applyAlignment="1">
      <alignment horizontal="left"/>
    </xf>
    <xf numFmtId="0" fontId="5" fillId="0" borderId="0" xfId="71" applyNumberFormat="1" applyFont="1" applyAlignment="1">
      <alignment horizontal="left"/>
    </xf>
    <xf numFmtId="0" fontId="136" fillId="0" borderId="0" xfId="71" applyFill="1"/>
    <xf numFmtId="0" fontId="5" fillId="0" borderId="0" xfId="71" applyFont="1" applyFill="1"/>
    <xf numFmtId="0" fontId="5" fillId="0" borderId="0" xfId="71" applyNumberFormat="1" applyFont="1" applyFill="1" applyBorder="1" applyAlignment="1">
      <alignment horizontal="left"/>
    </xf>
    <xf numFmtId="175" fontId="5" fillId="0" borderId="0" xfId="71" applyNumberFormat="1" applyFont="1" applyFill="1" applyBorder="1" applyAlignment="1">
      <alignment horizontal="left"/>
    </xf>
    <xf numFmtId="0" fontId="19" fillId="0" borderId="0" xfId="10" applyFont="1" applyFill="1" applyBorder="1" applyAlignment="1">
      <alignment horizontal="left"/>
    </xf>
    <xf numFmtId="164" fontId="5" fillId="0" borderId="0" xfId="71" applyNumberFormat="1" applyFont="1" applyFill="1" applyBorder="1" applyAlignment="1">
      <alignment horizontal="right"/>
    </xf>
    <xf numFmtId="0" fontId="5" fillId="0" borderId="0" xfId="71" applyNumberFormat="1" applyFont="1" applyFill="1" applyBorder="1" applyAlignment="1">
      <alignment horizontal="right"/>
    </xf>
    <xf numFmtId="164" fontId="5" fillId="0" borderId="0" xfId="71" applyNumberFormat="1" applyFont="1" applyFill="1" applyBorder="1" applyAlignment="1">
      <alignment horizontal="left"/>
    </xf>
    <xf numFmtId="0" fontId="5" fillId="0" borderId="0" xfId="71" applyNumberFormat="1" applyFont="1" applyFill="1"/>
    <xf numFmtId="3" fontId="25" fillId="0" borderId="2" xfId="0" applyFont="1" applyBorder="1" applyAlignment="1">
      <alignment vertical="center" wrapText="1"/>
    </xf>
    <xf numFmtId="0" fontId="5" fillId="0" borderId="1" xfId="9" applyFont="1" applyBorder="1" applyAlignment="1">
      <alignment horizontal="center" vertical="center"/>
    </xf>
    <xf numFmtId="0" fontId="5" fillId="0" borderId="1" xfId="9" applyFont="1" applyFill="1" applyBorder="1" applyAlignment="1">
      <alignment horizontal="center" vertical="center"/>
    </xf>
    <xf numFmtId="1" fontId="5" fillId="0" borderId="1" xfId="9" applyNumberFormat="1" applyFont="1" applyBorder="1" applyAlignment="1">
      <alignment horizontal="center" vertical="center"/>
    </xf>
    <xf numFmtId="1" fontId="5" fillId="0" borderId="1" xfId="9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 wrapText="1"/>
    </xf>
    <xf numFmtId="0" fontId="5" fillId="0" borderId="1" xfId="71" applyNumberFormat="1" applyFont="1" applyBorder="1" applyAlignment="1">
      <alignment horizontal="center"/>
    </xf>
    <xf numFmtId="0" fontId="5" fillId="0" borderId="1" xfId="9" applyNumberFormat="1" applyFont="1" applyBorder="1" applyAlignment="1">
      <alignment horizontal="center"/>
    </xf>
    <xf numFmtId="0" fontId="5" fillId="0" borderId="1" xfId="71" applyNumberFormat="1" applyFont="1" applyFill="1" applyBorder="1" applyAlignment="1">
      <alignment horizontal="center"/>
    </xf>
    <xf numFmtId="1" fontId="138" fillId="0" borderId="1" xfId="0" applyNumberFormat="1" applyFont="1" applyBorder="1" applyAlignment="1">
      <alignment horizontal="center" vertical="center" wrapText="1"/>
    </xf>
    <xf numFmtId="1" fontId="19" fillId="0" borderId="1" xfId="3" applyNumberFormat="1" applyFont="1" applyBorder="1" applyAlignment="1">
      <alignment horizontal="center" vertical="center"/>
    </xf>
    <xf numFmtId="1" fontId="5" fillId="0" borderId="1" xfId="42" applyNumberFormat="1" applyFont="1" applyBorder="1" applyAlignment="1">
      <alignment horizontal="center" vertical="center"/>
    </xf>
    <xf numFmtId="14" fontId="10" fillId="7" borderId="1" xfId="71" applyNumberFormat="1" applyFont="1" applyFill="1" applyBorder="1" applyAlignment="1">
      <alignment horizontal="right"/>
    </xf>
    <xf numFmtId="164" fontId="25" fillId="0" borderId="0" xfId="0" applyNumberFormat="1" applyFont="1" applyBorder="1" applyAlignment="1">
      <alignment horizontal="center"/>
    </xf>
    <xf numFmtId="0" fontId="136" fillId="0" borderId="0" xfId="71"/>
    <xf numFmtId="0" fontId="136" fillId="0" borderId="0" xfId="71"/>
    <xf numFmtId="0" fontId="136" fillId="0" borderId="0" xfId="71" applyAlignment="1">
      <alignment horizontal="fill"/>
    </xf>
    <xf numFmtId="0" fontId="6" fillId="0" borderId="0" xfId="71" applyFont="1"/>
    <xf numFmtId="0" fontId="17" fillId="0" borderId="0" xfId="71" applyFont="1"/>
    <xf numFmtId="3" fontId="136" fillId="0" borderId="0" xfId="71" applyNumberFormat="1"/>
    <xf numFmtId="164" fontId="136" fillId="0" borderId="0" xfId="71" applyNumberFormat="1"/>
    <xf numFmtId="0" fontId="6" fillId="0" borderId="0" xfId="71" applyFont="1" applyAlignment="1">
      <alignment horizontal="right"/>
    </xf>
    <xf numFmtId="15" fontId="136" fillId="0" borderId="0" xfId="71" applyNumberFormat="1" applyAlignment="1">
      <alignment horizontal="left"/>
    </xf>
    <xf numFmtId="0" fontId="136" fillId="0" borderId="0" xfId="71" applyBorder="1"/>
    <xf numFmtId="3" fontId="136" fillId="0" borderId="0" xfId="71" applyNumberFormat="1" applyAlignment="1">
      <alignment horizontal="right"/>
    </xf>
    <xf numFmtId="164" fontId="136" fillId="0" borderId="0" xfId="71" applyNumberFormat="1" applyAlignment="1">
      <alignment horizontal="right"/>
    </xf>
    <xf numFmtId="0" fontId="6" fillId="0" borderId="0" xfId="71" applyFont="1" applyAlignment="1">
      <alignment horizontal="left"/>
    </xf>
    <xf numFmtId="49" fontId="136" fillId="0" borderId="0" xfId="71" applyNumberFormat="1" applyAlignment="1">
      <alignment horizontal="left"/>
    </xf>
    <xf numFmtId="0" fontId="136" fillId="0" borderId="0" xfId="71"/>
    <xf numFmtId="0" fontId="136" fillId="0" borderId="0" xfId="71" applyAlignment="1">
      <alignment horizontal="fill"/>
    </xf>
    <xf numFmtId="0" fontId="6" fillId="0" borderId="0" xfId="71" applyFont="1"/>
    <xf numFmtId="3" fontId="136" fillId="0" borderId="0" xfId="71" applyNumberFormat="1"/>
    <xf numFmtId="164" fontId="136" fillId="0" borderId="0" xfId="71" applyNumberFormat="1"/>
    <xf numFmtId="0" fontId="6" fillId="0" borderId="0" xfId="71" applyFont="1" applyAlignment="1">
      <alignment horizontal="right"/>
    </xf>
    <xf numFmtId="15" fontId="136" fillId="0" borderId="0" xfId="71" applyNumberFormat="1" applyAlignment="1">
      <alignment horizontal="left"/>
    </xf>
    <xf numFmtId="0" fontId="136" fillId="0" borderId="0" xfId="71" applyAlignment="1">
      <alignment horizontal="left"/>
    </xf>
    <xf numFmtId="0" fontId="136" fillId="0" borderId="0" xfId="71" applyBorder="1"/>
    <xf numFmtId="3" fontId="136" fillId="0" borderId="0" xfId="71" applyNumberFormat="1" applyAlignment="1">
      <alignment horizontal="right"/>
    </xf>
    <xf numFmtId="164" fontId="136" fillId="0" borderId="0" xfId="71" applyNumberFormat="1" applyAlignment="1">
      <alignment horizontal="right"/>
    </xf>
    <xf numFmtId="0" fontId="6" fillId="0" borderId="0" xfId="71" applyFont="1" applyAlignment="1">
      <alignment horizontal="left"/>
    </xf>
    <xf numFmtId="49" fontId="136" fillId="0" borderId="0" xfId="71" applyNumberFormat="1" applyAlignment="1">
      <alignment horizontal="left"/>
    </xf>
    <xf numFmtId="0" fontId="136" fillId="0" borderId="0" xfId="71" applyAlignment="1">
      <alignment horizontal="fill"/>
    </xf>
    <xf numFmtId="0" fontId="6" fillId="0" borderId="0" xfId="71" applyFont="1"/>
    <xf numFmtId="0" fontId="17" fillId="0" borderId="0" xfId="71" applyFont="1"/>
    <xf numFmtId="3" fontId="136" fillId="0" borderId="0" xfId="71" applyNumberFormat="1"/>
    <xf numFmtId="164" fontId="136" fillId="0" borderId="0" xfId="71" applyNumberFormat="1"/>
    <xf numFmtId="0" fontId="6" fillId="0" borderId="0" xfId="71" applyFont="1" applyAlignment="1">
      <alignment horizontal="right"/>
    </xf>
    <xf numFmtId="15" fontId="136" fillId="0" borderId="0" xfId="71" applyNumberFormat="1" applyAlignment="1">
      <alignment horizontal="left"/>
    </xf>
    <xf numFmtId="0" fontId="136" fillId="0" borderId="0" xfId="71" applyAlignment="1">
      <alignment horizontal="left"/>
    </xf>
    <xf numFmtId="0" fontId="136" fillId="0" borderId="0" xfId="71" applyBorder="1"/>
    <xf numFmtId="3" fontId="136" fillId="0" borderId="0" xfId="71" applyNumberFormat="1" applyAlignment="1">
      <alignment horizontal="right"/>
    </xf>
    <xf numFmtId="164" fontId="136" fillId="0" borderId="0" xfId="71" applyNumberFormat="1" applyAlignment="1">
      <alignment horizontal="right"/>
    </xf>
    <xf numFmtId="0" fontId="6" fillId="0" borderId="0" xfId="71" applyFont="1" applyAlignment="1">
      <alignment horizontal="left"/>
    </xf>
    <xf numFmtId="49" fontId="136" fillId="0" borderId="0" xfId="71" applyNumberFormat="1" applyAlignment="1">
      <alignment horizontal="left"/>
    </xf>
    <xf numFmtId="15" fontId="136" fillId="0" borderId="1" xfId="71" applyNumberFormat="1" applyBorder="1" applyAlignment="1">
      <alignment horizontal="left"/>
    </xf>
    <xf numFmtId="14" fontId="136" fillId="0" borderId="0" xfId="71" applyNumberFormat="1"/>
    <xf numFmtId="3" fontId="136" fillId="0" borderId="1" xfId="71" applyNumberFormat="1" applyBorder="1" applyAlignment="1">
      <alignment horizontal="center" vertical="center"/>
    </xf>
    <xf numFmtId="164" fontId="136" fillId="0" borderId="1" xfId="71" applyNumberFormat="1" applyBorder="1" applyAlignment="1">
      <alignment horizontal="center" vertical="center"/>
    </xf>
    <xf numFmtId="0" fontId="136" fillId="0" borderId="1" xfId="71" applyBorder="1"/>
    <xf numFmtId="177" fontId="0" fillId="0" borderId="1" xfId="0" applyNumberFormat="1" applyBorder="1">
      <alignment horizontal="left" vertical="center" wrapText="1"/>
    </xf>
    <xf numFmtId="0" fontId="111" fillId="0" borderId="1" xfId="9" applyNumberFormat="1" applyFont="1" applyFill="1" applyBorder="1" applyAlignment="1">
      <alignment horizontal="center" vertical="center"/>
    </xf>
    <xf numFmtId="0" fontId="111" fillId="0" borderId="1" xfId="9" applyNumberFormat="1" applyFont="1" applyBorder="1" applyAlignment="1">
      <alignment horizontal="center" vertical="center"/>
    </xf>
    <xf numFmtId="0" fontId="111" fillId="0" borderId="1" xfId="0" applyNumberFormat="1" applyFont="1" applyBorder="1" applyAlignment="1">
      <alignment horizontal="center" vertical="center"/>
    </xf>
    <xf numFmtId="2" fontId="22" fillId="0" borderId="1" xfId="0" applyNumberFormat="1" applyFont="1" applyFill="1" applyBorder="1">
      <alignment horizontal="left" vertical="center" wrapText="1"/>
    </xf>
    <xf numFmtId="2" fontId="22" fillId="0" borderId="5" xfId="0" applyNumberFormat="1" applyFont="1" applyFill="1" applyBorder="1">
      <alignment horizontal="left" vertical="center" wrapText="1"/>
    </xf>
    <xf numFmtId="15" fontId="6" fillId="7" borderId="2" xfId="0" applyNumberFormat="1" applyFont="1" applyFill="1" applyBorder="1" applyAlignment="1">
      <alignment vertical="center" wrapText="1"/>
    </xf>
    <xf numFmtId="1" fontId="22" fillId="0" borderId="1" xfId="0" applyNumberFormat="1" applyFont="1" applyFill="1" applyBorder="1">
      <alignment horizontal="left" vertical="center" wrapText="1"/>
    </xf>
    <xf numFmtId="1" fontId="22" fillId="0" borderId="5" xfId="0" applyNumberFormat="1" applyFont="1" applyFill="1" applyBorder="1">
      <alignment horizontal="left" vertical="center" wrapText="1"/>
    </xf>
    <xf numFmtId="1" fontId="22" fillId="0" borderId="1" xfId="0" applyNumberFormat="1" applyFont="1" applyFill="1" applyBorder="1" applyAlignment="1">
      <alignment horizontal="center" vertical="center" wrapText="1"/>
    </xf>
    <xf numFmtId="2" fontId="22" fillId="0" borderId="7" xfId="0" applyNumberFormat="1" applyFont="1" applyFill="1" applyBorder="1">
      <alignment horizontal="left" vertical="center" wrapText="1"/>
    </xf>
    <xf numFmtId="3" fontId="76" fillId="0" borderId="1" xfId="0" applyFont="1" applyBorder="1">
      <alignment horizontal="left" vertical="center" wrapText="1"/>
    </xf>
    <xf numFmtId="3" fontId="76" fillId="0" borderId="1" xfId="0" applyFont="1" applyBorder="1" applyAlignment="1">
      <alignment horizontal="left" wrapText="1"/>
    </xf>
    <xf numFmtId="170" fontId="127" fillId="0" borderId="1" xfId="0" applyNumberFormat="1" applyFont="1" applyFill="1" applyBorder="1">
      <alignment horizontal="left" vertical="center" wrapText="1"/>
    </xf>
    <xf numFmtId="164" fontId="22" fillId="0" borderId="1" xfId="0" applyNumberFormat="1" applyFont="1" applyFill="1" applyBorder="1">
      <alignment horizontal="left" vertical="center" wrapText="1"/>
    </xf>
    <xf numFmtId="164" fontId="22" fillId="0" borderId="5" xfId="0" applyNumberFormat="1" applyFont="1" applyFill="1" applyBorder="1">
      <alignment horizontal="left" vertical="center" wrapText="1"/>
    </xf>
    <xf numFmtId="15" fontId="6" fillId="7" borderId="2" xfId="0" applyNumberFormat="1" applyFont="1" applyFill="1" applyBorder="1" applyAlignment="1">
      <alignment horizontal="center" vertical="center" wrapText="1"/>
    </xf>
    <xf numFmtId="3" fontId="31" fillId="0" borderId="0" xfId="0" applyNumberFormat="1" applyFont="1">
      <alignment horizontal="left" vertical="center" wrapText="1"/>
    </xf>
    <xf numFmtId="0" fontId="5" fillId="0" borderId="1" xfId="9" applyBorder="1" applyAlignment="1">
      <alignment horizontal="left" vertical="center"/>
    </xf>
    <xf numFmtId="0" fontId="140" fillId="0" borderId="0" xfId="9" applyFont="1" applyAlignment="1">
      <alignment horizontal="left" vertical="center"/>
    </xf>
    <xf numFmtId="0" fontId="76" fillId="7" borderId="1" xfId="71" applyFont="1" applyFill="1" applyBorder="1" applyAlignment="1">
      <alignment horizontal="right"/>
    </xf>
    <xf numFmtId="0" fontId="38" fillId="7" borderId="1" xfId="71" applyFont="1" applyFill="1" applyBorder="1"/>
    <xf numFmtId="14" fontId="136" fillId="7" borderId="0" xfId="71" applyNumberFormat="1" applyFill="1"/>
    <xf numFmtId="3" fontId="136" fillId="0" borderId="1" xfId="71" applyNumberFormat="1" applyBorder="1"/>
    <xf numFmtId="164" fontId="136" fillId="0" borderId="1" xfId="71" applyNumberFormat="1" applyBorder="1"/>
    <xf numFmtId="0" fontId="136" fillId="7" borderId="1" xfId="71" applyFill="1" applyBorder="1"/>
    <xf numFmtId="3" fontId="136" fillId="7" borderId="1" xfId="71" applyNumberFormat="1" applyFill="1" applyBorder="1"/>
    <xf numFmtId="164" fontId="136" fillId="7" borderId="1" xfId="71" applyNumberFormat="1" applyFill="1" applyBorder="1"/>
    <xf numFmtId="3" fontId="6" fillId="2" borderId="0" xfId="0" applyFont="1" applyFill="1" applyAlignment="1">
      <alignment horizontal="center"/>
    </xf>
    <xf numFmtId="3" fontId="25" fillId="0" borderId="1" xfId="0" applyFont="1" applyBorder="1">
      <alignment horizontal="left" vertical="center" wrapText="1"/>
    </xf>
    <xf numFmtId="0" fontId="23" fillId="0" borderId="0" xfId="6" applyFill="1" applyBorder="1">
      <alignment horizontal="left" vertical="center" wrapText="1"/>
    </xf>
    <xf numFmtId="164" fontId="0" fillId="7" borderId="0" xfId="0" applyNumberFormat="1" applyFill="1">
      <alignment horizontal="left" vertical="center" wrapText="1"/>
    </xf>
    <xf numFmtId="3" fontId="0" fillId="2" borderId="1" xfId="0" applyFill="1" applyBorder="1">
      <alignment horizontal="left" vertical="center" wrapText="1"/>
    </xf>
    <xf numFmtId="164" fontId="0" fillId="0" borderId="1" xfId="0" applyNumberFormat="1" applyFill="1" applyBorder="1">
      <alignment horizontal="left" vertical="center" wrapText="1"/>
    </xf>
    <xf numFmtId="0" fontId="0" fillId="0" borderId="1" xfId="0" applyNumberFormat="1" applyBorder="1">
      <alignment horizontal="left" vertical="center" wrapText="1"/>
    </xf>
    <xf numFmtId="180" fontId="0" fillId="0" borderId="0" xfId="0" applyNumberFormat="1">
      <alignment horizontal="left" vertical="center" wrapText="1"/>
    </xf>
    <xf numFmtId="2" fontId="0" fillId="0" borderId="0" xfId="0" applyNumberFormat="1" applyFill="1">
      <alignment horizontal="left" vertical="center" wrapText="1"/>
    </xf>
    <xf numFmtId="3" fontId="0" fillId="0" borderId="0" xfId="0" applyFill="1">
      <alignment horizontal="left" vertical="center" wrapText="1"/>
    </xf>
    <xf numFmtId="2" fontId="6" fillId="0" borderId="0" xfId="0" applyNumberFormat="1" applyFont="1" applyAlignment="1"/>
    <xf numFmtId="3" fontId="24" fillId="0" borderId="0" xfId="0" applyFont="1" applyAlignment="1">
      <alignment horizontal="center" vertical="center" wrapText="1"/>
    </xf>
    <xf numFmtId="2" fontId="0" fillId="0" borderId="1" xfId="0" applyNumberFormat="1" applyFill="1" applyBorder="1">
      <alignment horizontal="left" vertical="center" wrapText="1"/>
    </xf>
    <xf numFmtId="1" fontId="0" fillId="0" borderId="1" xfId="0" applyNumberFormat="1" applyFill="1" applyBorder="1">
      <alignment horizontal="left" vertical="center" wrapText="1"/>
    </xf>
    <xf numFmtId="2" fontId="0" fillId="7" borderId="1" xfId="0" applyNumberFormat="1" applyFill="1" applyBorder="1">
      <alignment horizontal="left" vertical="center" wrapText="1"/>
    </xf>
    <xf numFmtId="3" fontId="0" fillId="7" borderId="1" xfId="0" applyNumberFormat="1" applyFill="1" applyBorder="1">
      <alignment horizontal="left" vertical="center" wrapText="1"/>
    </xf>
    <xf numFmtId="3" fontId="0" fillId="9" borderId="1" xfId="0" applyFill="1" applyBorder="1">
      <alignment horizontal="left" vertical="center" wrapText="1"/>
    </xf>
    <xf numFmtId="3" fontId="39" fillId="7" borderId="0" xfId="0" applyFont="1" applyFill="1">
      <alignment horizontal="left" vertical="center" wrapText="1"/>
    </xf>
    <xf numFmtId="0" fontId="23" fillId="0" borderId="4" xfId="6" applyFill="1" applyBorder="1">
      <alignment horizontal="left" vertical="center" wrapText="1"/>
    </xf>
    <xf numFmtId="164" fontId="0" fillId="7" borderId="1" xfId="0" applyNumberFormat="1" applyFill="1" applyBorder="1">
      <alignment horizontal="left" vertical="center" wrapText="1"/>
    </xf>
    <xf numFmtId="3" fontId="18" fillId="0" borderId="1" xfId="0" applyFont="1" applyBorder="1">
      <alignment horizontal="left" vertical="center" wrapText="1"/>
    </xf>
    <xf numFmtId="3" fontId="22" fillId="7" borderId="3" xfId="0" applyFont="1" applyFill="1" applyBorder="1">
      <alignment horizontal="left" vertical="center" wrapText="1"/>
    </xf>
    <xf numFmtId="3" fontId="22" fillId="7" borderId="7" xfId="0" applyFont="1" applyFill="1" applyBorder="1">
      <alignment horizontal="left" vertical="center" wrapText="1"/>
    </xf>
    <xf numFmtId="3" fontId="22" fillId="7" borderId="1" xfId="0" applyFont="1" applyFill="1" applyBorder="1">
      <alignment horizontal="left" vertical="center" wrapText="1"/>
    </xf>
    <xf numFmtId="3" fontId="0" fillId="0" borderId="0" xfId="0" applyAlignment="1">
      <alignment horizontal="center" vertical="center" wrapText="1"/>
    </xf>
    <xf numFmtId="3" fontId="149" fillId="17" borderId="73" xfId="0" applyFont="1" applyFill="1" applyBorder="1" applyAlignment="1">
      <alignment horizontal="left" vertical="center" wrapText="1"/>
    </xf>
    <xf numFmtId="3" fontId="148" fillId="55" borderId="74" xfId="0" applyFont="1" applyFill="1" applyBorder="1" applyAlignment="1">
      <alignment horizontal="center" vertical="center" wrapText="1"/>
    </xf>
    <xf numFmtId="3" fontId="148" fillId="55" borderId="75" xfId="0" applyFont="1" applyFill="1" applyBorder="1" applyAlignment="1">
      <alignment horizontal="center" vertical="center" wrapText="1"/>
    </xf>
    <xf numFmtId="3" fontId="148" fillId="55" borderId="76" xfId="0" applyFont="1" applyFill="1" applyBorder="1" applyAlignment="1">
      <alignment horizontal="center" vertical="center" wrapText="1"/>
    </xf>
    <xf numFmtId="3" fontId="149" fillId="17" borderId="78" xfId="0" applyFont="1" applyFill="1" applyBorder="1" applyAlignment="1">
      <alignment horizontal="left" vertical="center" wrapText="1"/>
    </xf>
    <xf numFmtId="3" fontId="149" fillId="17" borderId="80" xfId="0" applyFont="1" applyFill="1" applyBorder="1" applyAlignment="1">
      <alignment horizontal="left" vertical="center" wrapText="1"/>
    </xf>
    <xf numFmtId="3" fontId="149" fillId="17" borderId="81" xfId="0" applyFont="1" applyFill="1" applyBorder="1" applyAlignment="1">
      <alignment horizontal="left" vertical="center" wrapText="1"/>
    </xf>
    <xf numFmtId="14" fontId="149" fillId="17" borderId="77" xfId="0" applyNumberFormat="1" applyFont="1" applyFill="1" applyBorder="1" applyAlignment="1">
      <alignment horizontal="left" vertical="center" wrapText="1"/>
    </xf>
    <xf numFmtId="14" fontId="149" fillId="17" borderId="79" xfId="0" applyNumberFormat="1" applyFont="1" applyFill="1" applyBorder="1" applyAlignment="1">
      <alignment horizontal="left" vertical="center" wrapText="1"/>
    </xf>
    <xf numFmtId="9" fontId="88" fillId="0" borderId="0" xfId="5" applyFont="1" applyAlignment="1"/>
    <xf numFmtId="3" fontId="150" fillId="17" borderId="18" xfId="0" applyFont="1" applyFill="1" applyBorder="1" applyAlignment="1">
      <alignment horizontal="center" vertical="center" wrapText="1"/>
    </xf>
    <xf numFmtId="3" fontId="0" fillId="17" borderId="20" xfId="0" applyFill="1" applyBorder="1">
      <alignment horizontal="left" vertical="center" wrapText="1"/>
    </xf>
    <xf numFmtId="3" fontId="0" fillId="17" borderId="87" xfId="0" applyFill="1" applyBorder="1">
      <alignment horizontal="left" vertical="center" wrapText="1"/>
    </xf>
    <xf numFmtId="3" fontId="150" fillId="17" borderId="16" xfId="0" applyFont="1" applyFill="1" applyBorder="1" applyAlignment="1">
      <alignment horizontal="center" vertical="center" wrapText="1"/>
    </xf>
    <xf numFmtId="3" fontId="151" fillId="17" borderId="16" xfId="0" applyFont="1" applyFill="1" applyBorder="1" applyAlignment="1">
      <alignment horizontal="right" vertical="center" wrapText="1"/>
    </xf>
    <xf numFmtId="3" fontId="150" fillId="17" borderId="82" xfId="0" applyFont="1" applyFill="1" applyBorder="1" applyAlignment="1">
      <alignment horizontal="center" vertical="center" wrapText="1"/>
    </xf>
    <xf numFmtId="3" fontId="150" fillId="17" borderId="19" xfId="0" applyFont="1" applyFill="1" applyBorder="1" applyAlignment="1">
      <alignment horizontal="center" vertical="center" wrapText="1"/>
    </xf>
    <xf numFmtId="0" fontId="150" fillId="17" borderId="16" xfId="0" applyNumberFormat="1" applyFont="1" applyFill="1" applyBorder="1" applyAlignment="1">
      <alignment horizontal="center" vertical="center" wrapText="1"/>
    </xf>
    <xf numFmtId="3" fontId="0" fillId="17" borderId="20" xfId="0" applyFill="1" applyBorder="1" applyAlignment="1">
      <alignment horizontal="center" vertical="center" wrapText="1"/>
    </xf>
    <xf numFmtId="3" fontId="88" fillId="7" borderId="1" xfId="0" applyFont="1" applyFill="1" applyBorder="1" applyAlignment="1">
      <alignment horizontal="center"/>
    </xf>
    <xf numFmtId="3" fontId="0" fillId="0" borderId="0" xfId="0" applyFill="1" applyBorder="1">
      <alignment horizontal="left" vertical="center" wrapText="1"/>
    </xf>
    <xf numFmtId="3" fontId="25" fillId="0" borderId="2" xfId="0" applyFont="1" applyBorder="1">
      <alignment horizontal="left" vertical="center" wrapText="1"/>
    </xf>
    <xf numFmtId="3" fontId="25" fillId="0" borderId="1" xfId="0" applyFont="1" applyBorder="1">
      <alignment horizontal="left" vertical="center" wrapText="1"/>
    </xf>
    <xf numFmtId="3" fontId="22" fillId="7" borderId="1" xfId="0" applyFont="1" applyFill="1" applyBorder="1">
      <alignment horizontal="left" vertical="center" wrapText="1"/>
    </xf>
    <xf numFmtId="3" fontId="24" fillId="7" borderId="7" xfId="0" applyFont="1" applyFill="1" applyBorder="1" applyAlignment="1">
      <alignment horizontal="center"/>
    </xf>
    <xf numFmtId="3" fontId="24" fillId="7" borderId="5" xfId="0" applyFont="1" applyFill="1" applyBorder="1" applyAlignment="1">
      <alignment horizontal="center"/>
    </xf>
    <xf numFmtId="3" fontId="24" fillId="7" borderId="1" xfId="0" applyFont="1" applyFill="1" applyBorder="1" applyAlignment="1">
      <alignment horizontal="center"/>
    </xf>
    <xf numFmtId="3" fontId="23" fillId="7" borderId="1" xfId="0" applyFont="1" applyFill="1" applyBorder="1" applyAlignment="1">
      <alignment horizontal="center"/>
    </xf>
    <xf numFmtId="3" fontId="28" fillId="0" borderId="0" xfId="0" applyFont="1" applyAlignment="1">
      <alignment horizontal="center"/>
    </xf>
    <xf numFmtId="3" fontId="24" fillId="0" borderId="8" xfId="0" applyFont="1" applyBorder="1" applyAlignment="1">
      <alignment horizontal="center" vertical="top" wrapText="1"/>
    </xf>
    <xf numFmtId="3" fontId="24" fillId="0" borderId="10" xfId="0" applyFont="1" applyBorder="1" applyAlignment="1">
      <alignment horizontal="center" vertical="top" wrapText="1"/>
    </xf>
    <xf numFmtId="3" fontId="29" fillId="0" borderId="11" xfId="0" applyFont="1" applyBorder="1" applyAlignment="1">
      <alignment horizontal="center"/>
    </xf>
    <xf numFmtId="3" fontId="25" fillId="0" borderId="1" xfId="0" applyFont="1" applyBorder="1" applyAlignment="1">
      <alignment horizontal="left" vertical="top" wrapText="1"/>
    </xf>
    <xf numFmtId="3" fontId="13" fillId="0" borderId="1" xfId="0" applyFont="1" applyBorder="1" applyAlignment="1">
      <alignment horizontal="left" vertical="top" wrapText="1"/>
    </xf>
    <xf numFmtId="3" fontId="13" fillId="0" borderId="1" xfId="0" applyFont="1" applyBorder="1" applyAlignment="1">
      <alignment vertical="top" wrapText="1"/>
    </xf>
    <xf numFmtId="3" fontId="13" fillId="0" borderId="8" xfId="0" applyFont="1" applyBorder="1" applyAlignment="1">
      <alignment horizontal="left" vertical="top" wrapText="1"/>
    </xf>
    <xf numFmtId="3" fontId="13" fillId="0" borderId="10" xfId="0" applyFont="1" applyBorder="1" applyAlignment="1">
      <alignment horizontal="left" vertical="top" wrapText="1"/>
    </xf>
    <xf numFmtId="3" fontId="13" fillId="0" borderId="2" xfId="0" applyFont="1" applyBorder="1" applyAlignment="1">
      <alignment horizontal="left" vertical="top" wrapText="1"/>
    </xf>
    <xf numFmtId="3" fontId="13" fillId="0" borderId="8" xfId="0" applyFont="1" applyBorder="1" applyAlignment="1">
      <alignment vertical="top" wrapText="1"/>
    </xf>
    <xf numFmtId="3" fontId="13" fillId="0" borderId="10" xfId="0" applyFont="1" applyBorder="1" applyAlignment="1">
      <alignment vertical="top" wrapText="1"/>
    </xf>
    <xf numFmtId="3" fontId="13" fillId="0" borderId="2" xfId="0" applyFont="1" applyBorder="1" applyAlignment="1">
      <alignment vertical="top" wrapText="1"/>
    </xf>
    <xf numFmtId="3" fontId="8" fillId="0" borderId="0" xfId="0" applyFont="1" applyAlignment="1">
      <alignment horizontal="center"/>
    </xf>
    <xf numFmtId="3" fontId="12" fillId="0" borderId="0" xfId="0" applyFont="1" applyAlignment="1">
      <alignment horizontal="center"/>
    </xf>
    <xf numFmtId="3" fontId="6" fillId="7" borderId="8" xfId="0" applyFont="1" applyFill="1" applyBorder="1" applyAlignment="1">
      <alignment horizontal="center" wrapText="1"/>
    </xf>
    <xf numFmtId="3" fontId="6" fillId="7" borderId="2" xfId="0" applyFont="1" applyFill="1" applyBorder="1" applyAlignment="1">
      <alignment horizontal="center" wrapText="1"/>
    </xf>
    <xf numFmtId="3" fontId="6" fillId="7" borderId="8" xfId="0" applyFont="1" applyFill="1" applyBorder="1" applyAlignment="1">
      <alignment horizontal="center"/>
    </xf>
    <xf numFmtId="3" fontId="6" fillId="7" borderId="2" xfId="0" applyFont="1" applyFill="1" applyBorder="1" applyAlignment="1">
      <alignment horizontal="center"/>
    </xf>
    <xf numFmtId="3" fontId="6" fillId="7" borderId="1" xfId="0" applyFont="1" applyFill="1" applyBorder="1" applyAlignment="1">
      <alignment horizontal="center"/>
    </xf>
    <xf numFmtId="3" fontId="24" fillId="0" borderId="0" xfId="0" applyFont="1" applyAlignment="1">
      <alignment horizontal="center"/>
    </xf>
    <xf numFmtId="165" fontId="24" fillId="0" borderId="1" xfId="0" applyNumberFormat="1" applyFont="1" applyBorder="1" applyAlignment="1">
      <alignment horizontal="center"/>
    </xf>
    <xf numFmtId="3" fontId="0" fillId="7" borderId="1" xfId="0" applyFill="1" applyBorder="1" applyAlignment="1">
      <alignment horizontal="center" wrapText="1"/>
    </xf>
    <xf numFmtId="3" fontId="22" fillId="16" borderId="1" xfId="0" applyFont="1" applyFill="1" applyBorder="1" applyAlignment="1">
      <alignment horizontal="center" vertical="center"/>
    </xf>
    <xf numFmtId="3" fontId="37" fillId="16" borderId="1" xfId="0" applyFont="1" applyFill="1" applyBorder="1" applyAlignment="1">
      <alignment horizontal="center" vertical="center"/>
    </xf>
    <xf numFmtId="3" fontId="18" fillId="0" borderId="0" xfId="0" applyFont="1" applyAlignment="1">
      <alignment horizontal="center" vertical="center" wrapText="1"/>
    </xf>
    <xf numFmtId="3" fontId="6" fillId="0" borderId="0" xfId="0" applyFont="1" applyAlignment="1">
      <alignment horizontal="center"/>
    </xf>
    <xf numFmtId="2" fontId="6" fillId="0" borderId="0" xfId="0" applyNumberFormat="1" applyFont="1" applyAlignment="1">
      <alignment horizontal="center"/>
    </xf>
    <xf numFmtId="3" fontId="18" fillId="0" borderId="1" xfId="0" applyFont="1" applyBorder="1" applyAlignment="1">
      <alignment horizontal="center" vertical="center" wrapText="1"/>
    </xf>
    <xf numFmtId="3" fontId="39" fillId="0" borderId="0" xfId="0" applyFont="1" applyAlignment="1">
      <alignment horizontal="center" vertical="center" wrapText="1"/>
    </xf>
    <xf numFmtId="3" fontId="25" fillId="0" borderId="3" xfId="0" applyFont="1" applyBorder="1" applyAlignment="1">
      <alignment horizontal="center" vertical="center" wrapText="1"/>
    </xf>
    <xf numFmtId="3" fontId="0" fillId="9" borderId="4" xfId="0" applyFill="1" applyBorder="1" applyAlignment="1">
      <alignment horizontal="center" vertical="center" wrapText="1"/>
    </xf>
    <xf numFmtId="3" fontId="0" fillId="9" borderId="0" xfId="0" applyFill="1" applyBorder="1" applyAlignment="1">
      <alignment horizontal="center" vertical="center" wrapText="1"/>
    </xf>
    <xf numFmtId="3" fontId="6" fillId="2" borderId="0" xfId="0" applyFont="1" applyFill="1" applyAlignment="1">
      <alignment horizontal="center"/>
    </xf>
    <xf numFmtId="3" fontId="24" fillId="0" borderId="0" xfId="0" applyFont="1" applyAlignment="1">
      <alignment horizontal="center" vertical="center" wrapText="1"/>
    </xf>
    <xf numFmtId="3" fontId="6" fillId="0" borderId="0" xfId="0" applyFont="1" applyAlignment="1">
      <alignment horizontal="left"/>
    </xf>
    <xf numFmtId="3" fontId="96" fillId="0" borderId="18" xfId="0" applyFont="1" applyBorder="1" applyAlignment="1">
      <alignment horizontal="center" vertical="center" wrapText="1"/>
    </xf>
    <xf numFmtId="3" fontId="96" fillId="0" borderId="19" xfId="0" applyFont="1" applyBorder="1" applyAlignment="1">
      <alignment horizontal="center" vertical="center" wrapText="1"/>
    </xf>
    <xf numFmtId="3" fontId="83" fillId="0" borderId="0" xfId="0" applyFont="1" applyAlignment="1">
      <alignment horizontal="center"/>
    </xf>
    <xf numFmtId="3" fontId="84" fillId="0" borderId="0" xfId="0" applyFont="1" applyAlignment="1">
      <alignment horizontal="center" wrapText="1"/>
    </xf>
    <xf numFmtId="3" fontId="88" fillId="7" borderId="8" xfId="0" applyFont="1" applyFill="1" applyBorder="1" applyAlignment="1">
      <alignment horizontal="center" wrapText="1"/>
    </xf>
    <xf numFmtId="3" fontId="88" fillId="7" borderId="2" xfId="0" applyFont="1" applyFill="1" applyBorder="1" applyAlignment="1">
      <alignment horizontal="center" wrapText="1"/>
    </xf>
    <xf numFmtId="3" fontId="83" fillId="0" borderId="17" xfId="0" applyFont="1" applyBorder="1" applyAlignment="1">
      <alignment horizontal="center" vertical="center"/>
    </xf>
    <xf numFmtId="3" fontId="83" fillId="0" borderId="21" xfId="0" applyFont="1" applyBorder="1" applyAlignment="1">
      <alignment horizontal="center" vertical="center"/>
    </xf>
    <xf numFmtId="3" fontId="83" fillId="0" borderId="22" xfId="0" applyFont="1" applyBorder="1" applyAlignment="1">
      <alignment horizontal="center" vertical="center"/>
    </xf>
    <xf numFmtId="3" fontId="91" fillId="0" borderId="26" xfId="0" applyFont="1" applyBorder="1" applyAlignment="1">
      <alignment horizontal="center" vertical="center" wrapText="1"/>
    </xf>
    <xf numFmtId="3" fontId="94" fillId="0" borderId="0" xfId="0" applyFont="1" applyAlignment="1">
      <alignment horizontal="center" vertical="center" wrapText="1"/>
    </xf>
    <xf numFmtId="3" fontId="83" fillId="0" borderId="11" xfId="0" applyFont="1" applyBorder="1" applyAlignment="1">
      <alignment horizontal="center" vertical="center" wrapText="1"/>
    </xf>
    <xf numFmtId="3" fontId="14" fillId="7" borderId="0" xfId="0" applyFont="1" applyFill="1" applyBorder="1" applyAlignment="1">
      <alignment horizontal="center"/>
    </xf>
    <xf numFmtId="3" fontId="0" fillId="0" borderId="0" xfId="0" applyAlignment="1">
      <alignment horizontal="center" vertical="center" wrapText="1"/>
    </xf>
    <xf numFmtId="3" fontId="151" fillId="17" borderId="18" xfId="0" applyFont="1" applyFill="1" applyBorder="1" applyAlignment="1">
      <alignment horizontal="right" vertical="center" wrapText="1"/>
    </xf>
    <xf numFmtId="3" fontId="151" fillId="17" borderId="82" xfId="0" applyFont="1" applyFill="1" applyBorder="1" applyAlignment="1">
      <alignment horizontal="right" vertical="center" wrapText="1"/>
    </xf>
    <xf numFmtId="3" fontId="150" fillId="17" borderId="17" xfId="0" applyFont="1" applyFill="1" applyBorder="1" applyAlignment="1">
      <alignment horizontal="center" vertical="center"/>
    </xf>
    <xf numFmtId="3" fontId="150" fillId="17" borderId="21" xfId="0" applyFont="1" applyFill="1" applyBorder="1" applyAlignment="1">
      <alignment horizontal="center" vertical="center"/>
    </xf>
    <xf numFmtId="3" fontId="150" fillId="17" borderId="22" xfId="0" applyFont="1" applyFill="1" applyBorder="1" applyAlignment="1">
      <alignment horizontal="center" vertical="center"/>
    </xf>
    <xf numFmtId="3" fontId="150" fillId="17" borderId="86" xfId="0" applyFont="1" applyFill="1" applyBorder="1" applyAlignment="1">
      <alignment horizontal="center" vertical="center"/>
    </xf>
    <xf numFmtId="3" fontId="150" fillId="17" borderId="26" xfId="0" applyFont="1" applyFill="1" applyBorder="1" applyAlignment="1">
      <alignment horizontal="center" vertical="center"/>
    </xf>
    <xf numFmtId="3" fontId="150" fillId="17" borderId="87" xfId="0" applyFont="1" applyFill="1" applyBorder="1" applyAlignment="1">
      <alignment horizontal="center" vertical="center"/>
    </xf>
    <xf numFmtId="3" fontId="150" fillId="17" borderId="18" xfId="0" applyFont="1" applyFill="1" applyBorder="1" applyAlignment="1">
      <alignment horizontal="center" vertical="center" wrapText="1"/>
    </xf>
    <xf numFmtId="3" fontId="150" fillId="17" borderId="82" xfId="0" applyFont="1" applyFill="1" applyBorder="1" applyAlignment="1">
      <alignment horizontal="center" vertical="center" wrapText="1"/>
    </xf>
    <xf numFmtId="3" fontId="150" fillId="17" borderId="19" xfId="0" applyFont="1" applyFill="1" applyBorder="1" applyAlignment="1">
      <alignment horizontal="center" vertical="center" wrapText="1"/>
    </xf>
    <xf numFmtId="3" fontId="151" fillId="17" borderId="19" xfId="0" applyFont="1" applyFill="1" applyBorder="1" applyAlignment="1">
      <alignment horizontal="right" vertical="center" wrapText="1"/>
    </xf>
    <xf numFmtId="3" fontId="150" fillId="17" borderId="25" xfId="0" applyFont="1" applyFill="1" applyBorder="1" applyAlignment="1">
      <alignment horizontal="center" vertical="center"/>
    </xf>
    <xf numFmtId="3" fontId="150" fillId="17" borderId="83" xfId="0" applyFont="1" applyFill="1" applyBorder="1" applyAlignment="1">
      <alignment horizontal="center" vertical="center"/>
    </xf>
    <xf numFmtId="3" fontId="150" fillId="17" borderId="84" xfId="0" applyFont="1" applyFill="1" applyBorder="1" applyAlignment="1">
      <alignment horizontal="center" vertical="center"/>
    </xf>
    <xf numFmtId="3" fontId="150" fillId="17" borderId="85" xfId="0" applyFont="1" applyFill="1" applyBorder="1" applyAlignment="1">
      <alignment horizontal="center" vertical="center"/>
    </xf>
    <xf numFmtId="3" fontId="150" fillId="17" borderId="0" xfId="0" applyFont="1" applyFill="1" applyBorder="1" applyAlignment="1">
      <alignment horizontal="center" vertical="center"/>
    </xf>
    <xf numFmtId="3" fontId="150" fillId="17" borderId="20" xfId="0" applyFont="1" applyFill="1" applyBorder="1" applyAlignment="1">
      <alignment horizontal="center" vertical="center"/>
    </xf>
    <xf numFmtId="3" fontId="58" fillId="0" borderId="39" xfId="0" applyFont="1" applyBorder="1" applyAlignment="1">
      <alignment horizontal="center" vertical="center" wrapText="1"/>
    </xf>
    <xf numFmtId="3" fontId="22" fillId="7" borderId="1" xfId="0" applyFont="1" applyFill="1" applyBorder="1" applyAlignment="1">
      <alignment horizontal="center" vertical="center" wrapText="1"/>
    </xf>
    <xf numFmtId="3" fontId="0" fillId="0" borderId="11" xfId="0" applyBorder="1" applyAlignment="1">
      <alignment horizontal="center" vertical="center" wrapText="1"/>
    </xf>
    <xf numFmtId="164" fontId="8" fillId="0" borderId="7" xfId="0" applyNumberFormat="1" applyFont="1" applyBorder="1" applyAlignment="1">
      <alignment horizontal="center"/>
    </xf>
    <xf numFmtId="164" fontId="8" fillId="0" borderId="13" xfId="0" applyNumberFormat="1" applyFont="1" applyBorder="1" applyAlignment="1">
      <alignment horizontal="center"/>
    </xf>
    <xf numFmtId="164" fontId="8" fillId="0" borderId="5" xfId="0" applyNumberFormat="1" applyFont="1" applyBorder="1" applyAlignment="1">
      <alignment horizontal="center"/>
    </xf>
    <xf numFmtId="3" fontId="8" fillId="0" borderId="7" xfId="0" applyFont="1" applyBorder="1" applyAlignment="1">
      <alignment horizontal="center"/>
    </xf>
    <xf numFmtId="3" fontId="8" fillId="0" borderId="13" xfId="0" applyFont="1" applyBorder="1" applyAlignment="1">
      <alignment horizontal="center"/>
    </xf>
    <xf numFmtId="3" fontId="8" fillId="0" borderId="5" xfId="0" applyFont="1" applyBorder="1" applyAlignment="1">
      <alignment horizontal="center"/>
    </xf>
    <xf numFmtId="3" fontId="8" fillId="7" borderId="7" xfId="0" applyFont="1" applyFill="1" applyBorder="1" applyAlignment="1">
      <alignment horizontal="center"/>
    </xf>
    <xf numFmtId="3" fontId="8" fillId="7" borderId="13" xfId="0" applyFont="1" applyFill="1" applyBorder="1" applyAlignment="1">
      <alignment horizontal="center"/>
    </xf>
    <xf numFmtId="3" fontId="8" fillId="7" borderId="5" xfId="0" applyFont="1" applyFill="1" applyBorder="1" applyAlignment="1">
      <alignment horizontal="center"/>
    </xf>
    <xf numFmtId="164" fontId="8" fillId="7" borderId="7" xfId="0" applyNumberFormat="1" applyFont="1" applyFill="1" applyBorder="1" applyAlignment="1">
      <alignment horizontal="center"/>
    </xf>
    <xf numFmtId="164" fontId="8" fillId="7" borderId="13" xfId="0" applyNumberFormat="1" applyFont="1" applyFill="1" applyBorder="1" applyAlignment="1">
      <alignment horizontal="center"/>
    </xf>
    <xf numFmtId="164" fontId="8" fillId="7" borderId="5" xfId="0" applyNumberFormat="1" applyFont="1" applyFill="1" applyBorder="1" applyAlignment="1">
      <alignment horizontal="center"/>
    </xf>
    <xf numFmtId="3" fontId="37" fillId="7" borderId="6" xfId="0" applyFont="1" applyFill="1" applyBorder="1" applyAlignment="1">
      <alignment horizontal="center"/>
    </xf>
    <xf numFmtId="3" fontId="37" fillId="7" borderId="11" xfId="0" applyFont="1" applyFill="1" applyBorder="1" applyAlignment="1">
      <alignment horizontal="center"/>
    </xf>
    <xf numFmtId="3" fontId="25" fillId="7" borderId="1" xfId="0" applyFont="1" applyFill="1" applyBorder="1" applyAlignment="1">
      <alignment horizontal="center"/>
    </xf>
    <xf numFmtId="3" fontId="0" fillId="7" borderId="1" xfId="0" applyFill="1" applyBorder="1" applyAlignment="1">
      <alignment horizontal="center"/>
    </xf>
    <xf numFmtId="3" fontId="25" fillId="7" borderId="1" xfId="0" applyFont="1" applyFill="1" applyBorder="1" applyAlignment="1">
      <alignment horizontal="center" wrapText="1"/>
    </xf>
    <xf numFmtId="3" fontId="22" fillId="7" borderId="1" xfId="0" applyFont="1" applyFill="1" applyBorder="1" applyAlignment="1">
      <alignment horizontal="center" wrapText="1"/>
    </xf>
    <xf numFmtId="3" fontId="25" fillId="8" borderId="7" xfId="0" applyFont="1" applyFill="1" applyBorder="1" applyAlignment="1">
      <alignment horizontal="center"/>
    </xf>
    <xf numFmtId="3" fontId="25" fillId="8" borderId="13" xfId="0" applyFont="1" applyFill="1" applyBorder="1" applyAlignment="1">
      <alignment horizontal="center"/>
    </xf>
    <xf numFmtId="3" fontId="25" fillId="8" borderId="5" xfId="0" applyFont="1" applyFill="1" applyBorder="1" applyAlignment="1">
      <alignment horizontal="center"/>
    </xf>
    <xf numFmtId="3" fontId="25" fillId="12" borderId="1" xfId="0" applyFont="1" applyFill="1" applyBorder="1" applyAlignment="1">
      <alignment horizontal="center"/>
    </xf>
    <xf numFmtId="3" fontId="0" fillId="0" borderId="0" xfId="0" applyAlignment="1">
      <alignment horizontal="left"/>
    </xf>
    <xf numFmtId="3" fontId="6" fillId="0" borderId="11" xfId="0" applyFont="1" applyBorder="1" applyAlignment="1">
      <alignment horizontal="center"/>
    </xf>
    <xf numFmtId="3" fontId="14" fillId="0" borderId="0" xfId="0" applyFont="1" applyAlignment="1">
      <alignment horizontal="center"/>
    </xf>
    <xf numFmtId="3" fontId="39" fillId="0" borderId="0" xfId="0" applyFont="1" applyAlignment="1">
      <alignment horizontal="left"/>
    </xf>
    <xf numFmtId="3" fontId="14" fillId="0" borderId="11" xfId="0" applyFont="1" applyBorder="1" applyAlignment="1">
      <alignment horizontal="center"/>
    </xf>
    <xf numFmtId="3" fontId="5" fillId="54" borderId="1" xfId="0" applyFont="1" applyFill="1" applyBorder="1" applyAlignment="1">
      <alignment horizontal="center" vertical="center" wrapText="1"/>
    </xf>
    <xf numFmtId="3" fontId="5" fillId="0" borderId="1" xfId="0" applyFont="1" applyBorder="1" applyAlignment="1">
      <alignment horizontal="left" vertical="top" wrapText="1"/>
    </xf>
    <xf numFmtId="3" fontId="7" fillId="0" borderId="1" xfId="0" applyFont="1" applyBorder="1" applyAlignment="1">
      <alignment horizontal="left" vertical="top" wrapText="1"/>
    </xf>
    <xf numFmtId="3" fontId="0" fillId="0" borderId="1" xfId="0" applyBorder="1" applyAlignment="1">
      <alignment horizontal="left" vertical="top" wrapText="1"/>
    </xf>
    <xf numFmtId="3" fontId="5" fillId="54" borderId="1" xfId="0" applyFont="1" applyFill="1" applyBorder="1" applyAlignment="1">
      <alignment horizontal="left" vertical="top" wrapText="1"/>
    </xf>
    <xf numFmtId="3" fontId="0" fillId="54" borderId="1" xfId="0" applyFill="1" applyBorder="1" applyAlignment="1">
      <alignment horizontal="left" vertical="top" wrapText="1"/>
    </xf>
    <xf numFmtId="3" fontId="31" fillId="0" borderId="1" xfId="0" applyFont="1" applyBorder="1" applyAlignment="1">
      <alignment horizontal="center" vertical="top" wrapText="1"/>
    </xf>
    <xf numFmtId="3" fontId="31" fillId="0" borderId="1" xfId="0" applyFont="1" applyBorder="1" applyAlignment="1">
      <alignment horizontal="center" vertical="top"/>
    </xf>
    <xf numFmtId="3" fontId="32" fillId="0" borderId="1" xfId="0" applyFont="1" applyBorder="1" applyAlignment="1">
      <alignment horizontal="center" vertical="center"/>
    </xf>
    <xf numFmtId="3" fontId="31" fillId="7" borderId="7" xfId="0" applyFont="1" applyFill="1" applyBorder="1" applyAlignment="1">
      <alignment horizontal="center" vertical="top" wrapText="1"/>
    </xf>
    <xf numFmtId="3" fontId="31" fillId="7" borderId="1" xfId="0" applyFont="1" applyFill="1" applyBorder="1" applyAlignment="1">
      <alignment horizontal="center" vertical="top" wrapText="1"/>
    </xf>
    <xf numFmtId="3" fontId="32" fillId="0" borderId="3" xfId="0" applyFont="1" applyBorder="1" applyAlignment="1">
      <alignment horizontal="center" vertical="center"/>
    </xf>
    <xf numFmtId="3" fontId="32" fillId="0" borderId="0" xfId="0" applyFont="1" applyAlignment="1">
      <alignment horizontal="center" vertical="center"/>
    </xf>
    <xf numFmtId="177" fontId="25" fillId="7" borderId="1" xfId="0" applyNumberFormat="1" applyFont="1" applyFill="1" applyBorder="1" applyAlignment="1">
      <alignment horizontal="center"/>
    </xf>
    <xf numFmtId="177" fontId="39" fillId="7" borderId="1" xfId="0" applyNumberFormat="1" applyFont="1" applyFill="1" applyBorder="1" applyAlignment="1">
      <alignment horizontal="center"/>
    </xf>
    <xf numFmtId="177" fontId="5" fillId="0" borderId="7" xfId="0" applyNumberFormat="1" applyFont="1" applyBorder="1" applyAlignment="1">
      <alignment horizontal="center" vertical="center"/>
    </xf>
    <xf numFmtId="177" fontId="5" fillId="0" borderId="13" xfId="0" applyNumberFormat="1" applyFont="1" applyBorder="1" applyAlignment="1">
      <alignment horizontal="center" vertical="center"/>
    </xf>
    <xf numFmtId="177" fontId="5" fillId="0" borderId="5" xfId="0" applyNumberFormat="1" applyFont="1" applyBorder="1" applyAlignment="1">
      <alignment horizontal="center" vertical="center"/>
    </xf>
    <xf numFmtId="3" fontId="5" fillId="0" borderId="7" xfId="0" applyFont="1" applyBorder="1" applyAlignment="1">
      <alignment horizontal="center" vertical="center"/>
    </xf>
    <xf numFmtId="3" fontId="5" fillId="0" borderId="13" xfId="0" applyFont="1" applyBorder="1" applyAlignment="1">
      <alignment horizontal="center" vertical="center"/>
    </xf>
    <xf numFmtId="3" fontId="5" fillId="0" borderId="5" xfId="0" applyFont="1" applyBorder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/>
    </xf>
    <xf numFmtId="177" fontId="5" fillId="0" borderId="7" xfId="0" applyNumberFormat="1" applyFont="1" applyBorder="1" applyAlignment="1">
      <alignment horizontal="center"/>
    </xf>
    <xf numFmtId="177" fontId="5" fillId="0" borderId="13" xfId="0" applyNumberFormat="1" applyFont="1" applyBorder="1" applyAlignment="1">
      <alignment horizontal="center"/>
    </xf>
    <xf numFmtId="177" fontId="5" fillId="0" borderId="5" xfId="0" applyNumberFormat="1" applyFont="1" applyBorder="1" applyAlignment="1">
      <alignment horizontal="center"/>
    </xf>
    <xf numFmtId="3" fontId="31" fillId="0" borderId="7" xfId="0" applyFont="1" applyBorder="1" applyAlignment="1">
      <alignment horizontal="center" vertical="top" wrapText="1"/>
    </xf>
    <xf numFmtId="3" fontId="25" fillId="7" borderId="7" xfId="0" applyFont="1" applyFill="1" applyBorder="1" applyAlignment="1">
      <alignment horizontal="center"/>
    </xf>
    <xf numFmtId="3" fontId="25" fillId="7" borderId="13" xfId="0" applyFont="1" applyFill="1" applyBorder="1" applyAlignment="1">
      <alignment horizontal="center"/>
    </xf>
    <xf numFmtId="3" fontId="25" fillId="7" borderId="5" xfId="0" applyFont="1" applyFill="1" applyBorder="1" applyAlignment="1">
      <alignment horizontal="center"/>
    </xf>
    <xf numFmtId="3" fontId="22" fillId="7" borderId="1" xfId="0" applyFont="1" applyFill="1" applyBorder="1" applyAlignment="1">
      <alignment horizontal="center"/>
    </xf>
    <xf numFmtId="3" fontId="25" fillId="0" borderId="8" xfId="0" applyFont="1" applyBorder="1" applyAlignment="1">
      <alignment horizontal="left" vertical="center"/>
    </xf>
    <xf numFmtId="3" fontId="25" fillId="0" borderId="2" xfId="0" applyFont="1" applyBorder="1" applyAlignment="1">
      <alignment horizontal="left" vertical="center"/>
    </xf>
    <xf numFmtId="3" fontId="25" fillId="0" borderId="8" xfId="0" applyFont="1" applyBorder="1">
      <alignment horizontal="left" vertical="center" wrapText="1"/>
    </xf>
    <xf numFmtId="3" fontId="25" fillId="0" borderId="2" xfId="0" applyFont="1" applyBorder="1">
      <alignment horizontal="left" vertical="center" wrapText="1"/>
    </xf>
    <xf numFmtId="3" fontId="25" fillId="0" borderId="0" xfId="0" applyFont="1" applyAlignment="1">
      <alignment horizontal="center" vertical="center" wrapText="1"/>
    </xf>
    <xf numFmtId="3" fontId="10" fillId="7" borderId="7" xfId="0" applyFont="1" applyFill="1" applyBorder="1" applyAlignment="1">
      <alignment horizontal="center" vertical="center" wrapText="1"/>
    </xf>
    <xf numFmtId="3" fontId="10" fillId="7" borderId="5" xfId="0" applyFont="1" applyFill="1" applyBorder="1" applyAlignment="1">
      <alignment horizontal="center" vertical="center" wrapText="1"/>
    </xf>
    <xf numFmtId="3" fontId="25" fillId="0" borderId="13" xfId="0" applyFont="1" applyBorder="1" applyAlignment="1">
      <alignment horizontal="center" vertical="center" wrapText="1"/>
    </xf>
    <xf numFmtId="3" fontId="25" fillId="0" borderId="5" xfId="0" applyFont="1" applyBorder="1" applyAlignment="1">
      <alignment horizontal="center" vertical="center" wrapText="1"/>
    </xf>
    <xf numFmtId="3" fontId="25" fillId="0" borderId="0" xfId="0" applyFont="1" applyAlignment="1">
      <alignment horizontal="left" vertical="center"/>
    </xf>
    <xf numFmtId="3" fontId="25" fillId="0" borderId="7" xfId="0" applyFont="1" applyBorder="1">
      <alignment horizontal="left" vertical="center" wrapText="1"/>
    </xf>
    <xf numFmtId="3" fontId="25" fillId="0" borderId="5" xfId="0" applyFont="1" applyBorder="1">
      <alignment horizontal="left" vertical="center" wrapText="1"/>
    </xf>
    <xf numFmtId="3" fontId="22" fillId="7" borderId="7" xfId="0" applyFont="1" applyFill="1" applyBorder="1" applyAlignment="1">
      <alignment horizontal="center" vertical="center"/>
    </xf>
    <xf numFmtId="3" fontId="22" fillId="7" borderId="13" xfId="0" applyFont="1" applyFill="1" applyBorder="1" applyAlignment="1">
      <alignment horizontal="center" vertical="center"/>
    </xf>
    <xf numFmtId="3" fontId="22" fillId="7" borderId="5" xfId="0" applyFont="1" applyFill="1" applyBorder="1" applyAlignment="1">
      <alignment horizontal="center" vertical="center"/>
    </xf>
    <xf numFmtId="3" fontId="0" fillId="0" borderId="7" xfId="0" applyBorder="1" applyAlignment="1">
      <alignment horizontal="center" vertical="center" wrapText="1"/>
    </xf>
    <xf numFmtId="3" fontId="0" fillId="0" borderId="5" xfId="0" applyBorder="1" applyAlignment="1">
      <alignment horizontal="center" vertical="center" wrapText="1"/>
    </xf>
    <xf numFmtId="3" fontId="0" fillId="7" borderId="7" xfId="0" applyFill="1" applyBorder="1" applyAlignment="1">
      <alignment horizontal="center" vertical="center" wrapText="1"/>
    </xf>
    <xf numFmtId="3" fontId="0" fillId="7" borderId="5" xfId="0" applyFill="1" applyBorder="1" applyAlignment="1">
      <alignment horizontal="center" vertical="center" wrapText="1"/>
    </xf>
    <xf numFmtId="3" fontId="22" fillId="0" borderId="7" xfId="0" applyFont="1" applyBorder="1" applyAlignment="1">
      <alignment horizontal="center" vertical="center"/>
    </xf>
    <xf numFmtId="3" fontId="22" fillId="0" borderId="13" xfId="0" applyFont="1" applyBorder="1" applyAlignment="1">
      <alignment horizontal="center" vertical="center"/>
    </xf>
    <xf numFmtId="3" fontId="22" fillId="0" borderId="5" xfId="0" applyFont="1" applyBorder="1" applyAlignment="1">
      <alignment horizontal="center" vertical="center"/>
    </xf>
    <xf numFmtId="3" fontId="22" fillId="7" borderId="7" xfId="0" applyFont="1" applyFill="1" applyBorder="1" applyAlignment="1">
      <alignment horizontal="center"/>
    </xf>
    <xf numFmtId="3" fontId="22" fillId="7" borderId="13" xfId="0" applyFont="1" applyFill="1" applyBorder="1" applyAlignment="1">
      <alignment horizontal="center"/>
    </xf>
    <xf numFmtId="3" fontId="22" fillId="7" borderId="5" xfId="0" applyFont="1" applyFill="1" applyBorder="1" applyAlignment="1">
      <alignment horizontal="center"/>
    </xf>
    <xf numFmtId="3" fontId="6" fillId="7" borderId="7" xfId="0" applyFont="1" applyFill="1" applyBorder="1" applyAlignment="1">
      <alignment horizontal="center"/>
    </xf>
    <xf numFmtId="3" fontId="6" fillId="7" borderId="13" xfId="0" applyFont="1" applyFill="1" applyBorder="1" applyAlignment="1">
      <alignment horizontal="center"/>
    </xf>
    <xf numFmtId="3" fontId="6" fillId="7" borderId="5" xfId="0" applyFont="1" applyFill="1" applyBorder="1" applyAlignment="1">
      <alignment horizontal="center"/>
    </xf>
    <xf numFmtId="3" fontId="22" fillId="0" borderId="7" xfId="0" applyFont="1" applyBorder="1" applyAlignment="1">
      <alignment horizontal="center" vertical="top" wrapText="1"/>
    </xf>
    <xf numFmtId="3" fontId="22" fillId="0" borderId="13" xfId="0" applyFont="1" applyBorder="1" applyAlignment="1">
      <alignment horizontal="center" vertical="top" wrapText="1"/>
    </xf>
    <xf numFmtId="3" fontId="22" fillId="0" borderId="5" xfId="0" applyFont="1" applyBorder="1" applyAlignment="1">
      <alignment horizontal="center" vertical="top" wrapText="1"/>
    </xf>
    <xf numFmtId="3" fontId="0" fillId="7" borderId="1" xfId="0" applyFill="1" applyBorder="1" applyAlignment="1">
      <alignment horizontal="center" vertical="center" wrapText="1"/>
    </xf>
    <xf numFmtId="3" fontId="5" fillId="7" borderId="1" xfId="0" applyFont="1" applyFill="1" applyBorder="1" applyAlignment="1">
      <alignment horizontal="center" vertical="center"/>
    </xf>
    <xf numFmtId="3" fontId="22" fillId="7" borderId="7" xfId="0" applyFont="1" applyFill="1" applyBorder="1" applyAlignment="1">
      <alignment horizontal="center" vertical="top" wrapText="1"/>
    </xf>
    <xf numFmtId="3" fontId="22" fillId="7" borderId="13" xfId="0" applyFont="1" applyFill="1" applyBorder="1" applyAlignment="1">
      <alignment horizontal="center" vertical="top" wrapText="1"/>
    </xf>
    <xf numFmtId="3" fontId="22" fillId="7" borderId="7" xfId="0" applyFont="1" applyFill="1" applyBorder="1" applyAlignment="1">
      <alignment horizontal="center" vertical="center" wrapText="1"/>
    </xf>
    <xf numFmtId="3" fontId="22" fillId="7" borderId="13" xfId="0" applyFont="1" applyFill="1" applyBorder="1" applyAlignment="1">
      <alignment horizontal="center" vertical="center" wrapText="1"/>
    </xf>
    <xf numFmtId="3" fontId="22" fillId="7" borderId="5" xfId="0" applyFont="1" applyFill="1" applyBorder="1" applyAlignment="1">
      <alignment horizontal="center" vertical="center" wrapText="1"/>
    </xf>
    <xf numFmtId="3" fontId="22" fillId="7" borderId="1" xfId="0" applyFont="1" applyFill="1" applyBorder="1" applyAlignment="1">
      <alignment horizontal="center" vertical="top" wrapText="1"/>
    </xf>
    <xf numFmtId="3" fontId="25" fillId="7" borderId="8" xfId="0" applyFont="1" applyFill="1" applyBorder="1" applyAlignment="1">
      <alignment horizontal="center" vertical="center" wrapText="1"/>
    </xf>
    <xf numFmtId="3" fontId="25" fillId="7" borderId="2" xfId="0" applyFont="1" applyFill="1" applyBorder="1" applyAlignment="1">
      <alignment horizontal="center" vertical="center" wrapText="1"/>
    </xf>
    <xf numFmtId="3" fontId="24" fillId="0" borderId="11" xfId="0" applyFont="1" applyBorder="1" applyAlignment="1">
      <alignment horizontal="center" vertical="top" wrapText="1"/>
    </xf>
    <xf numFmtId="3" fontId="24" fillId="0" borderId="15" xfId="0" applyFont="1" applyBorder="1" applyAlignment="1">
      <alignment horizontal="center" vertical="top" wrapText="1"/>
    </xf>
    <xf numFmtId="177" fontId="25" fillId="7" borderId="8" xfId="0" applyNumberFormat="1" applyFont="1" applyFill="1" applyBorder="1" applyAlignment="1">
      <alignment horizontal="center" vertical="center" wrapText="1"/>
    </xf>
    <xf numFmtId="177" fontId="25" fillId="7" borderId="2" xfId="0" applyNumberFormat="1" applyFont="1" applyFill="1" applyBorder="1" applyAlignment="1">
      <alignment horizontal="center" vertical="center" wrapText="1"/>
    </xf>
    <xf numFmtId="3" fontId="25" fillId="0" borderId="1" xfId="0" applyFont="1" applyBorder="1">
      <alignment horizontal="left" vertical="center" wrapText="1"/>
    </xf>
    <xf numFmtId="3" fontId="34" fillId="0" borderId="8" xfId="0" applyFont="1" applyBorder="1">
      <alignment horizontal="left" vertical="center" wrapText="1"/>
    </xf>
    <xf numFmtId="3" fontId="34" fillId="0" borderId="2" xfId="0" applyFont="1" applyBorder="1">
      <alignment horizontal="left" vertical="center" wrapText="1"/>
    </xf>
    <xf numFmtId="3" fontId="25" fillId="0" borderId="1" xfId="0" applyFont="1" applyBorder="1" applyAlignment="1">
      <alignment horizontal="center" vertical="center" wrapText="1"/>
    </xf>
    <xf numFmtId="0" fontId="5" fillId="0" borderId="13" xfId="0" applyNumberFormat="1" applyFont="1" applyBorder="1" applyAlignment="1">
      <alignment horizontal="center"/>
    </xf>
    <xf numFmtId="0" fontId="5" fillId="0" borderId="5" xfId="0" applyNumberFormat="1" applyFont="1" applyBorder="1" applyAlignment="1">
      <alignment horizontal="center"/>
    </xf>
    <xf numFmtId="177" fontId="25" fillId="0" borderId="1" xfId="0" applyNumberFormat="1" applyFont="1" applyBorder="1" applyAlignment="1">
      <alignment vertical="center"/>
    </xf>
    <xf numFmtId="3" fontId="0" fillId="0" borderId="8" xfId="0" applyBorder="1">
      <alignment horizontal="left" vertical="center" wrapText="1"/>
    </xf>
    <xf numFmtId="3" fontId="0" fillId="0" borderId="2" xfId="0" applyBorder="1">
      <alignment horizontal="left" vertical="center" wrapText="1"/>
    </xf>
    <xf numFmtId="3" fontId="25" fillId="0" borderId="1" xfId="0" applyFont="1" applyBorder="1" applyAlignment="1">
      <alignment vertical="center"/>
    </xf>
    <xf numFmtId="3" fontId="37" fillId="7" borderId="6" xfId="0" applyFont="1" applyFill="1" applyBorder="1" applyAlignment="1">
      <alignment horizontal="center" vertical="center" wrapText="1"/>
    </xf>
    <xf numFmtId="3" fontId="37" fillId="7" borderId="11" xfId="0" applyFont="1" applyFill="1" applyBorder="1" applyAlignment="1">
      <alignment horizontal="center" vertical="center" wrapText="1"/>
    </xf>
    <xf numFmtId="3" fontId="37" fillId="7" borderId="24" xfId="0" applyFont="1" applyFill="1" applyBorder="1" applyAlignment="1">
      <alignment horizontal="center" vertical="center" wrapText="1"/>
    </xf>
    <xf numFmtId="3" fontId="37" fillId="7" borderId="3" xfId="0" applyFont="1" applyFill="1" applyBorder="1" applyAlignment="1">
      <alignment horizontal="center" vertical="center" wrapText="1"/>
    </xf>
    <xf numFmtId="3" fontId="24" fillId="7" borderId="6" xfId="0" applyFont="1" applyFill="1" applyBorder="1" applyAlignment="1">
      <alignment horizontal="center" vertical="center" wrapText="1"/>
    </xf>
    <xf numFmtId="3" fontId="24" fillId="7" borderId="11" xfId="0" applyFont="1" applyFill="1" applyBorder="1" applyAlignment="1">
      <alignment horizontal="center" vertical="center" wrapText="1"/>
    </xf>
    <xf numFmtId="3" fontId="0" fillId="0" borderId="2" xfId="0" applyBorder="1" applyAlignment="1">
      <alignment horizontal="center" vertical="center" wrapText="1"/>
    </xf>
    <xf numFmtId="3" fontId="39" fillId="0" borderId="1" xfId="0" applyFont="1" applyBorder="1" applyAlignment="1">
      <alignment horizontal="center"/>
    </xf>
    <xf numFmtId="3" fontId="0" fillId="0" borderId="1" xfId="0" applyBorder="1" applyAlignment="1">
      <alignment horizontal="center" vertical="center" wrapText="1"/>
    </xf>
    <xf numFmtId="3" fontId="39" fillId="0" borderId="0" xfId="0" applyFont="1" applyAlignment="1">
      <alignment horizontal="center" wrapText="1"/>
    </xf>
    <xf numFmtId="177" fontId="0" fillId="54" borderId="1" xfId="0" applyNumberFormat="1" applyFill="1" applyBorder="1" applyAlignment="1">
      <alignment horizontal="center" vertical="center" wrapText="1"/>
    </xf>
    <xf numFmtId="177" fontId="5" fillId="54" borderId="1" xfId="0" applyNumberFormat="1" applyFont="1" applyFill="1" applyBorder="1" applyAlignment="1">
      <alignment horizontal="center"/>
    </xf>
    <xf numFmtId="3" fontId="22" fillId="7" borderId="8" xfId="0" applyFont="1" applyFill="1" applyBorder="1" applyAlignment="1">
      <alignment horizontal="center" vertical="center" wrapText="1"/>
    </xf>
    <xf numFmtId="3" fontId="22" fillId="7" borderId="2" xfId="0" applyFont="1" applyFill="1" applyBorder="1" applyAlignment="1">
      <alignment horizontal="center" vertical="center" wrapText="1"/>
    </xf>
    <xf numFmtId="3" fontId="14" fillId="13" borderId="8" xfId="0" applyFont="1" applyFill="1" applyBorder="1" applyAlignment="1">
      <alignment horizontal="center" vertical="center"/>
    </xf>
    <xf numFmtId="3" fontId="14" fillId="13" borderId="2" xfId="0" applyFont="1" applyFill="1" applyBorder="1" applyAlignment="1">
      <alignment horizontal="center" vertical="center"/>
    </xf>
    <xf numFmtId="3" fontId="14" fillId="13" borderId="24" xfId="0" applyFont="1" applyFill="1" applyBorder="1" applyAlignment="1">
      <alignment horizontal="center" vertical="center" wrapText="1"/>
    </xf>
    <xf numFmtId="3" fontId="14" fillId="13" borderId="6" xfId="0" applyFont="1" applyFill="1" applyBorder="1" applyAlignment="1">
      <alignment horizontal="center" vertical="center" wrapText="1"/>
    </xf>
    <xf numFmtId="3" fontId="22" fillId="7" borderId="23" xfId="0" applyFont="1" applyFill="1" applyBorder="1">
      <alignment horizontal="left" vertical="center" wrapText="1"/>
    </xf>
    <xf numFmtId="3" fontId="22" fillId="7" borderId="15" xfId="0" applyFont="1" applyFill="1" applyBorder="1">
      <alignment horizontal="left" vertical="center" wrapText="1"/>
    </xf>
    <xf numFmtId="3" fontId="22" fillId="7" borderId="13" xfId="0" applyFont="1" applyFill="1" applyBorder="1">
      <alignment horizontal="left" vertical="center" wrapText="1"/>
    </xf>
    <xf numFmtId="3" fontId="22" fillId="7" borderId="23" xfId="0" applyFont="1" applyFill="1" applyBorder="1" applyAlignment="1">
      <alignment horizontal="center" vertical="center" wrapText="1"/>
    </xf>
    <xf numFmtId="3" fontId="22" fillId="7" borderId="14" xfId="0" applyFont="1" applyFill="1" applyBorder="1" applyAlignment="1">
      <alignment horizontal="center" vertical="center" wrapText="1"/>
    </xf>
    <xf numFmtId="3" fontId="22" fillId="7" borderId="15" xfId="0" applyFont="1" applyFill="1" applyBorder="1" applyAlignment="1">
      <alignment horizontal="center" vertical="center" wrapText="1"/>
    </xf>
    <xf numFmtId="3" fontId="22" fillId="7" borderId="10" xfId="0" applyFont="1" applyFill="1" applyBorder="1" applyAlignment="1">
      <alignment horizontal="center" vertical="center" wrapText="1"/>
    </xf>
    <xf numFmtId="3" fontId="22" fillId="7" borderId="3" xfId="0" applyFont="1" applyFill="1" applyBorder="1">
      <alignment horizontal="left" vertical="center" wrapText="1"/>
    </xf>
    <xf numFmtId="3" fontId="22" fillId="7" borderId="0" xfId="0" applyFont="1" applyFill="1">
      <alignment horizontal="left" vertical="center" wrapText="1"/>
    </xf>
    <xf numFmtId="3" fontId="22" fillId="7" borderId="11" xfId="0" applyFont="1" applyFill="1" applyBorder="1">
      <alignment horizontal="left" vertical="center" wrapText="1"/>
    </xf>
    <xf numFmtId="3" fontId="32" fillId="0" borderId="8" xfId="0" applyFont="1" applyBorder="1" applyAlignment="1">
      <alignment horizontal="center" vertical="center"/>
    </xf>
    <xf numFmtId="3" fontId="32" fillId="0" borderId="10" xfId="0" applyFont="1" applyBorder="1" applyAlignment="1">
      <alignment horizontal="center" vertical="center"/>
    </xf>
    <xf numFmtId="3" fontId="32" fillId="0" borderId="2" xfId="0" applyFont="1" applyBorder="1" applyAlignment="1">
      <alignment horizontal="center" vertical="center"/>
    </xf>
    <xf numFmtId="3" fontId="32" fillId="0" borderId="14" xfId="0" applyFont="1" applyBorder="1" applyAlignment="1">
      <alignment horizontal="center" vertical="center"/>
    </xf>
    <xf numFmtId="3" fontId="32" fillId="0" borderId="15" xfId="0" applyFont="1" applyBorder="1" applyAlignment="1">
      <alignment horizontal="center" vertical="center"/>
    </xf>
    <xf numFmtId="3" fontId="31" fillId="0" borderId="8" xfId="0" applyFont="1" applyBorder="1" applyAlignment="1">
      <alignment horizontal="center" vertical="top"/>
    </xf>
    <xf numFmtId="3" fontId="31" fillId="0" borderId="10" xfId="0" applyFont="1" applyBorder="1" applyAlignment="1">
      <alignment horizontal="center" vertical="top"/>
    </xf>
    <xf numFmtId="3" fontId="31" fillId="0" borderId="2" xfId="0" applyFont="1" applyBorder="1" applyAlignment="1">
      <alignment horizontal="center" vertical="top"/>
    </xf>
    <xf numFmtId="3" fontId="31" fillId="0" borderId="8" xfId="0" applyFont="1" applyBorder="1" applyAlignment="1">
      <alignment horizontal="center" vertical="top" wrapText="1"/>
    </xf>
    <xf numFmtId="3" fontId="31" fillId="0" borderId="10" xfId="0" applyFont="1" applyBorder="1" applyAlignment="1">
      <alignment horizontal="center" vertical="top" wrapText="1"/>
    </xf>
    <xf numFmtId="3" fontId="31" fillId="0" borderId="2" xfId="0" applyFont="1" applyBorder="1" applyAlignment="1">
      <alignment horizontal="center" vertical="top" wrapText="1"/>
    </xf>
    <xf numFmtId="3" fontId="31" fillId="0" borderId="0" xfId="0" applyFont="1" applyAlignment="1">
      <alignment horizontal="center" vertical="center" wrapText="1"/>
    </xf>
    <xf numFmtId="3" fontId="14" fillId="13" borderId="8" xfId="0" applyFont="1" applyFill="1" applyBorder="1" applyAlignment="1">
      <alignment horizontal="center" vertical="center" wrapText="1"/>
    </xf>
    <xf numFmtId="3" fontId="14" fillId="13" borderId="2" xfId="0" applyFont="1" applyFill="1" applyBorder="1" applyAlignment="1">
      <alignment horizontal="center" vertical="center" wrapText="1"/>
    </xf>
    <xf numFmtId="3" fontId="22" fillId="7" borderId="7" xfId="0" applyFont="1" applyFill="1" applyBorder="1">
      <alignment horizontal="left" vertical="center" wrapText="1"/>
    </xf>
    <xf numFmtId="3" fontId="22" fillId="7" borderId="8" xfId="0" applyFont="1" applyFill="1" applyBorder="1">
      <alignment horizontal="left" vertical="center" wrapText="1"/>
    </xf>
    <xf numFmtId="3" fontId="22" fillId="7" borderId="2" xfId="0" applyFont="1" applyFill="1" applyBorder="1">
      <alignment horizontal="left" vertical="center" wrapText="1"/>
    </xf>
    <xf numFmtId="3" fontId="14" fillId="7" borderId="6" xfId="0" applyFont="1" applyFill="1" applyBorder="1" applyAlignment="1">
      <alignment horizontal="center" vertical="center" wrapText="1"/>
    </xf>
    <xf numFmtId="3" fontId="14" fillId="7" borderId="11" xfId="0" applyFont="1" applyFill="1" applyBorder="1" applyAlignment="1">
      <alignment horizontal="center" vertical="center" wrapText="1"/>
    </xf>
    <xf numFmtId="3" fontId="24" fillId="7" borderId="1" xfId="0" applyFont="1" applyFill="1" applyBorder="1" applyAlignment="1">
      <alignment horizontal="center" vertical="center" wrapText="1"/>
    </xf>
    <xf numFmtId="3" fontId="22" fillId="7" borderId="10" xfId="0" applyFont="1" applyFill="1" applyBorder="1">
      <alignment horizontal="left" vertical="center" wrapText="1"/>
    </xf>
    <xf numFmtId="3" fontId="22" fillId="7" borderId="1" xfId="0" applyFont="1" applyFill="1" applyBorder="1">
      <alignment horizontal="left" vertical="center" wrapText="1"/>
    </xf>
    <xf numFmtId="3" fontId="0" fillId="0" borderId="0" xfId="0" applyAlignment="1">
      <alignment horizontal="center" vertical="top" wrapText="1"/>
    </xf>
    <xf numFmtId="3" fontId="0" fillId="7" borderId="1" xfId="0" applyFill="1" applyBorder="1" applyAlignment="1">
      <alignment horizontal="center" vertical="top" wrapText="1"/>
    </xf>
    <xf numFmtId="14" fontId="5" fillId="0" borderId="0" xfId="0" applyNumberFormat="1" applyFont="1" applyAlignment="1">
      <alignment horizontal="center"/>
    </xf>
    <xf numFmtId="14" fontId="32" fillId="0" borderId="0" xfId="0" applyNumberFormat="1" applyFont="1" applyAlignment="1">
      <alignment horizontal="center"/>
    </xf>
    <xf numFmtId="3" fontId="76" fillId="0" borderId="0" xfId="0" applyFont="1" applyAlignment="1">
      <alignment horizontal="center" vertical="center" wrapText="1"/>
    </xf>
    <xf numFmtId="14" fontId="14" fillId="7" borderId="7" xfId="0" applyNumberFormat="1" applyFont="1" applyFill="1" applyBorder="1" applyAlignment="1">
      <alignment horizontal="center"/>
    </xf>
    <xf numFmtId="14" fontId="14" fillId="7" borderId="5" xfId="0" applyNumberFormat="1" applyFont="1" applyFill="1" applyBorder="1" applyAlignment="1">
      <alignment horizontal="center"/>
    </xf>
    <xf numFmtId="14" fontId="37" fillId="53" borderId="7" xfId="0" applyNumberFormat="1" applyFont="1" applyFill="1" applyBorder="1" applyAlignment="1">
      <alignment horizontal="center"/>
    </xf>
    <xf numFmtId="14" fontId="37" fillId="53" borderId="13" xfId="0" applyNumberFormat="1" applyFont="1" applyFill="1" applyBorder="1" applyAlignment="1">
      <alignment horizontal="center"/>
    </xf>
    <xf numFmtId="14" fontId="37" fillId="53" borderId="5" xfId="0" applyNumberFormat="1" applyFont="1" applyFill="1" applyBorder="1" applyAlignment="1">
      <alignment horizontal="center"/>
    </xf>
    <xf numFmtId="3" fontId="40" fillId="13" borderId="8" xfId="0" applyFont="1" applyFill="1" applyBorder="1" applyAlignment="1">
      <alignment horizontal="center" vertical="center"/>
    </xf>
    <xf numFmtId="3" fontId="40" fillId="13" borderId="2" xfId="0" applyFont="1" applyFill="1" applyBorder="1" applyAlignment="1">
      <alignment horizontal="center" vertical="center"/>
    </xf>
    <xf numFmtId="3" fontId="40" fillId="13" borderId="8" xfId="0" applyFont="1" applyFill="1" applyBorder="1" applyAlignment="1">
      <alignment horizontal="center" vertical="center" wrapText="1"/>
    </xf>
    <xf numFmtId="3" fontId="40" fillId="13" borderId="2" xfId="0" applyFont="1" applyFill="1" applyBorder="1" applyAlignment="1">
      <alignment horizontal="center" vertical="center" wrapText="1"/>
    </xf>
    <xf numFmtId="3" fontId="40" fillId="13" borderId="7" xfId="0" applyFont="1" applyFill="1" applyBorder="1" applyAlignment="1">
      <alignment horizontal="center" vertical="center" wrapText="1"/>
    </xf>
    <xf numFmtId="3" fontId="40" fillId="13" borderId="13" xfId="0" applyFont="1" applyFill="1" applyBorder="1" applyAlignment="1">
      <alignment horizontal="center" vertical="center" wrapText="1"/>
    </xf>
    <xf numFmtId="3" fontId="40" fillId="13" borderId="5" xfId="0" applyFont="1" applyFill="1" applyBorder="1" applyAlignment="1">
      <alignment horizontal="center" vertical="center" wrapText="1"/>
    </xf>
    <xf numFmtId="14" fontId="40" fillId="53" borderId="7" xfId="0" applyNumberFormat="1" applyFont="1" applyFill="1" applyBorder="1" applyAlignment="1">
      <alignment horizontal="center"/>
    </xf>
    <xf numFmtId="14" fontId="40" fillId="53" borderId="13" xfId="0" applyNumberFormat="1" applyFont="1" applyFill="1" applyBorder="1" applyAlignment="1">
      <alignment horizontal="center"/>
    </xf>
    <xf numFmtId="14" fontId="40" fillId="53" borderId="5" xfId="0" applyNumberFormat="1" applyFont="1" applyFill="1" applyBorder="1" applyAlignment="1">
      <alignment horizontal="center"/>
    </xf>
    <xf numFmtId="3" fontId="37" fillId="13" borderId="8" xfId="0" applyFont="1" applyFill="1" applyBorder="1" applyAlignment="1">
      <alignment horizontal="center" vertical="center"/>
    </xf>
    <xf numFmtId="3" fontId="37" fillId="13" borderId="2" xfId="0" applyFont="1" applyFill="1" applyBorder="1" applyAlignment="1">
      <alignment horizontal="center" vertical="center"/>
    </xf>
    <xf numFmtId="3" fontId="37" fillId="13" borderId="8" xfId="0" applyFont="1" applyFill="1" applyBorder="1" applyAlignment="1">
      <alignment horizontal="center" vertical="center" wrapText="1"/>
    </xf>
    <xf numFmtId="3" fontId="37" fillId="13" borderId="2" xfId="0" applyFont="1" applyFill="1" applyBorder="1" applyAlignment="1">
      <alignment horizontal="center" vertical="center" wrapText="1"/>
    </xf>
    <xf numFmtId="3" fontId="10" fillId="11" borderId="6" xfId="0" applyFont="1" applyFill="1" applyBorder="1" applyAlignment="1">
      <alignment horizontal="center" vertical="center"/>
    </xf>
    <xf numFmtId="3" fontId="10" fillId="11" borderId="11" xfId="0" applyFont="1" applyFill="1" applyBorder="1" applyAlignment="1">
      <alignment horizontal="center" vertical="center"/>
    </xf>
    <xf numFmtId="3" fontId="24" fillId="7" borderId="14" xfId="0" applyFont="1" applyFill="1" applyBorder="1" applyAlignment="1">
      <alignment horizontal="center" vertical="center" wrapText="1"/>
    </xf>
    <xf numFmtId="3" fontId="40" fillId="13" borderId="10" xfId="0" applyFont="1" applyFill="1" applyBorder="1" applyAlignment="1">
      <alignment horizontal="center" vertical="center" wrapText="1"/>
    </xf>
    <xf numFmtId="3" fontId="40" fillId="13" borderId="10" xfId="0" applyFont="1" applyFill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 wrapText="1"/>
    </xf>
    <xf numFmtId="3" fontId="22" fillId="0" borderId="1" xfId="0" applyFont="1" applyBorder="1" applyAlignment="1">
      <alignment horizontal="center" vertical="center" wrapText="1"/>
    </xf>
    <xf numFmtId="3" fontId="0" fillId="0" borderId="8" xfId="0" applyBorder="1" applyAlignment="1">
      <alignment horizontal="center" vertical="center" wrapText="1"/>
    </xf>
    <xf numFmtId="3" fontId="24" fillId="0" borderId="1" xfId="0" applyFont="1" applyBorder="1" applyAlignment="1">
      <alignment horizontal="center" vertical="center" wrapText="1"/>
    </xf>
    <xf numFmtId="3" fontId="24" fillId="0" borderId="7" xfId="0" applyFont="1" applyBorder="1" applyAlignment="1">
      <alignment horizontal="center" vertical="center" wrapText="1"/>
    </xf>
    <xf numFmtId="3" fontId="24" fillId="0" borderId="11" xfId="0" applyFont="1" applyBorder="1" applyAlignment="1">
      <alignment horizontal="center"/>
    </xf>
    <xf numFmtId="3" fontId="78" fillId="0" borderId="0" xfId="0" applyFont="1" applyAlignment="1">
      <alignment horizontal="center"/>
    </xf>
    <xf numFmtId="3" fontId="25" fillId="0" borderId="1" xfId="0" applyFont="1" applyBorder="1" applyAlignment="1">
      <alignment horizontal="center" vertical="top"/>
    </xf>
    <xf numFmtId="0" fontId="136" fillId="0" borderId="1" xfId="71" applyBorder="1" applyAlignment="1">
      <alignment horizontal="right" vertical="center"/>
    </xf>
    <xf numFmtId="0" fontId="14" fillId="0" borderId="1" xfId="71" applyFont="1" applyBorder="1" applyAlignment="1">
      <alignment horizontal="center"/>
    </xf>
    <xf numFmtId="3" fontId="37" fillId="0" borderId="1" xfId="0" applyFont="1" applyBorder="1" applyAlignment="1">
      <alignment horizontal="center" vertical="center" wrapText="1"/>
    </xf>
    <xf numFmtId="3" fontId="135" fillId="7" borderId="1" xfId="0" applyFont="1" applyFill="1" applyBorder="1" applyAlignment="1">
      <alignment horizontal="center" vertical="center" wrapText="1"/>
    </xf>
    <xf numFmtId="0" fontId="0" fillId="7" borderId="1" xfId="0" applyNumberFormat="1" applyFill="1" applyBorder="1" applyAlignment="1">
      <alignment horizontal="center" vertical="center"/>
    </xf>
    <xf numFmtId="3" fontId="0" fillId="0" borderId="10" xfId="0" applyBorder="1" applyAlignment="1">
      <alignment horizontal="center" vertical="center" wrapText="1"/>
    </xf>
    <xf numFmtId="3" fontId="135" fillId="7" borderId="7" xfId="0" applyFont="1" applyFill="1" applyBorder="1" applyAlignment="1">
      <alignment horizontal="center" vertical="center" wrapText="1"/>
    </xf>
    <xf numFmtId="3" fontId="135" fillId="7" borderId="13" xfId="0" applyFont="1" applyFill="1" applyBorder="1" applyAlignment="1">
      <alignment horizontal="center" vertical="center" wrapText="1"/>
    </xf>
    <xf numFmtId="3" fontId="135" fillId="7" borderId="5" xfId="0" applyFont="1" applyFill="1" applyBorder="1" applyAlignment="1">
      <alignment horizontal="center" vertical="center" wrapText="1"/>
    </xf>
    <xf numFmtId="0" fontId="125" fillId="0" borderId="8" xfId="0" applyNumberFormat="1" applyFont="1" applyBorder="1" applyAlignment="1">
      <alignment horizontal="center" vertical="center"/>
    </xf>
    <xf numFmtId="0" fontId="125" fillId="0" borderId="10" xfId="0" applyNumberFormat="1" applyFont="1" applyBorder="1" applyAlignment="1">
      <alignment horizontal="center" vertical="center"/>
    </xf>
    <xf numFmtId="0" fontId="125" fillId="0" borderId="2" xfId="0" applyNumberFormat="1" applyFont="1" applyBorder="1" applyAlignment="1">
      <alignment horizontal="center" vertical="center"/>
    </xf>
    <xf numFmtId="0" fontId="129" fillId="7" borderId="7" xfId="0" applyNumberFormat="1" applyFont="1" applyFill="1" applyBorder="1" applyAlignment="1">
      <alignment horizontal="center"/>
    </xf>
    <xf numFmtId="0" fontId="129" fillId="7" borderId="5" xfId="0" applyNumberFormat="1" applyFont="1" applyFill="1" applyBorder="1" applyAlignment="1">
      <alignment horizontal="center"/>
    </xf>
    <xf numFmtId="0" fontId="125" fillId="7" borderId="1" xfId="0" applyNumberFormat="1" applyFont="1" applyFill="1" applyBorder="1" applyAlignment="1">
      <alignment horizontal="center" vertical="center" wrapText="1"/>
    </xf>
    <xf numFmtId="0" fontId="125" fillId="7" borderId="1" xfId="0" applyNumberFormat="1" applyFont="1" applyFill="1" applyBorder="1" applyAlignment="1">
      <alignment horizontal="center"/>
    </xf>
    <xf numFmtId="0" fontId="125" fillId="0" borderId="1" xfId="0" applyNumberFormat="1" applyFont="1" applyBorder="1" applyAlignment="1">
      <alignment horizontal="center" vertical="center"/>
    </xf>
    <xf numFmtId="3" fontId="129" fillId="7" borderId="1" xfId="0" applyFont="1" applyFill="1" applyBorder="1" applyAlignment="1">
      <alignment horizontal="center" vertical="center" wrapText="1"/>
    </xf>
    <xf numFmtId="0" fontId="125" fillId="0" borderId="24" xfId="0" applyNumberFormat="1" applyFont="1" applyBorder="1" applyAlignment="1">
      <alignment horizontal="center"/>
    </xf>
    <xf numFmtId="0" fontId="125" fillId="0" borderId="6" xfId="0" applyNumberFormat="1" applyFont="1" applyBorder="1" applyAlignment="1">
      <alignment horizontal="center"/>
    </xf>
    <xf numFmtId="0" fontId="125" fillId="7" borderId="8" xfId="0" applyNumberFormat="1" applyFont="1" applyFill="1" applyBorder="1" applyAlignment="1">
      <alignment horizontal="center" vertical="center"/>
    </xf>
    <xf numFmtId="0" fontId="125" fillId="7" borderId="2" xfId="0" applyNumberFormat="1" applyFont="1" applyFill="1" applyBorder="1" applyAlignment="1">
      <alignment horizontal="center" vertical="center"/>
    </xf>
    <xf numFmtId="0" fontId="125" fillId="7" borderId="24" xfId="0" applyNumberFormat="1" applyFont="1" applyFill="1" applyBorder="1" applyAlignment="1">
      <alignment horizontal="center"/>
    </xf>
    <xf numFmtId="0" fontId="125" fillId="7" borderId="6" xfId="0" applyNumberFormat="1" applyFont="1" applyFill="1" applyBorder="1" applyAlignment="1">
      <alignment horizontal="center"/>
    </xf>
    <xf numFmtId="14" fontId="0" fillId="0" borderId="6" xfId="0" applyNumberFormat="1" applyBorder="1" applyAlignment="1">
      <alignment horizontal="center" vertical="center" wrapText="1"/>
    </xf>
    <xf numFmtId="14" fontId="125" fillId="0" borderId="11" xfId="0" applyNumberFormat="1" applyFont="1" applyBorder="1" applyAlignment="1">
      <alignment horizontal="center" vertical="center" wrapText="1"/>
    </xf>
    <xf numFmtId="3" fontId="125" fillId="0" borderId="0" xfId="0" applyFont="1" applyAlignment="1">
      <alignment horizontal="center" vertical="center" wrapText="1"/>
    </xf>
    <xf numFmtId="3" fontId="125" fillId="0" borderId="11" xfId="0" applyFont="1" applyBorder="1" applyAlignment="1">
      <alignment horizontal="center" vertical="center" wrapText="1"/>
    </xf>
    <xf numFmtId="3" fontId="125" fillId="0" borderId="1" xfId="0" applyFont="1" applyBorder="1" applyAlignment="1">
      <alignment horizontal="center" vertical="center" wrapText="1"/>
    </xf>
    <xf numFmtId="0" fontId="129" fillId="7" borderId="1" xfId="0" applyNumberFormat="1" applyFont="1" applyFill="1" applyBorder="1" applyAlignment="1">
      <alignment horizontal="center" vertical="center"/>
    </xf>
    <xf numFmtId="0" fontId="125" fillId="7" borderId="1" xfId="0" applyNumberFormat="1" applyFont="1" applyFill="1" applyBorder="1" applyAlignment="1">
      <alignment horizontal="left"/>
    </xf>
    <xf numFmtId="0" fontId="125" fillId="7" borderId="1" xfId="0" applyNumberFormat="1" applyFont="1" applyFill="1" applyBorder="1" applyAlignment="1">
      <alignment horizontal="center" vertical="center"/>
    </xf>
    <xf numFmtId="3" fontId="54" fillId="9" borderId="1" xfId="0" applyFont="1" applyFill="1" applyBorder="1" applyAlignment="1">
      <alignment horizontal="center"/>
    </xf>
    <xf numFmtId="3" fontId="54" fillId="7" borderId="8" xfId="0" applyFont="1" applyFill="1" applyBorder="1" applyAlignment="1">
      <alignment horizontal="center" vertical="center" wrapText="1"/>
    </xf>
    <xf numFmtId="3" fontId="54" fillId="7" borderId="2" xfId="0" applyFont="1" applyFill="1" applyBorder="1" applyAlignment="1">
      <alignment horizontal="center" vertical="center" wrapText="1"/>
    </xf>
    <xf numFmtId="3" fontId="54" fillId="9" borderId="7" xfId="0" applyFont="1" applyFill="1" applyBorder="1" applyAlignment="1">
      <alignment horizontal="center"/>
    </xf>
    <xf numFmtId="3" fontId="54" fillId="9" borderId="13" xfId="0" applyFont="1" applyFill="1" applyBorder="1" applyAlignment="1">
      <alignment horizontal="center"/>
    </xf>
    <xf numFmtId="3" fontId="54" fillId="9" borderId="5" xfId="0" applyFont="1" applyFill="1" applyBorder="1" applyAlignment="1">
      <alignment horizontal="center"/>
    </xf>
    <xf numFmtId="3" fontId="54" fillId="6" borderId="7" xfId="0" applyFont="1" applyFill="1" applyBorder="1" applyAlignment="1">
      <alignment horizontal="center" vertical="center"/>
    </xf>
    <xf numFmtId="3" fontId="54" fillId="6" borderId="13" xfId="0" applyFont="1" applyFill="1" applyBorder="1" applyAlignment="1">
      <alignment horizontal="center" vertical="center"/>
    </xf>
    <xf numFmtId="3" fontId="54" fillId="6" borderId="5" xfId="0" applyFont="1" applyFill="1" applyBorder="1" applyAlignment="1">
      <alignment horizontal="center" vertical="center"/>
    </xf>
    <xf numFmtId="0" fontId="54" fillId="7" borderId="7" xfId="6" applyFont="1" applyFill="1" applyBorder="1" applyAlignment="1">
      <alignment horizontal="center" vertical="center" wrapText="1"/>
    </xf>
    <xf numFmtId="0" fontId="54" fillId="7" borderId="13" xfId="6" applyFont="1" applyFill="1" applyBorder="1" applyAlignment="1">
      <alignment horizontal="center" vertical="center" wrapText="1"/>
    </xf>
    <xf numFmtId="0" fontId="54" fillId="7" borderId="5" xfId="6" applyFont="1" applyFill="1" applyBorder="1" applyAlignment="1">
      <alignment horizontal="center" vertical="center" wrapText="1"/>
    </xf>
    <xf numFmtId="3" fontId="55" fillId="19" borderId="33" xfId="0" applyFont="1" applyFill="1" applyBorder="1" applyAlignment="1">
      <alignment horizontal="center" vertical="center"/>
    </xf>
    <xf numFmtId="3" fontId="55" fillId="19" borderId="30" xfId="0" applyFont="1" applyFill="1" applyBorder="1" applyAlignment="1">
      <alignment horizontal="center" vertical="center"/>
    </xf>
    <xf numFmtId="3" fontId="55" fillId="19" borderId="27" xfId="0" applyFont="1" applyFill="1" applyBorder="1" applyAlignment="1">
      <alignment horizontal="center" vertical="top" wrapText="1"/>
    </xf>
    <xf numFmtId="3" fontId="55" fillId="19" borderId="28" xfId="0" applyFont="1" applyFill="1" applyBorder="1" applyAlignment="1">
      <alignment horizontal="center" vertical="top" wrapText="1"/>
    </xf>
    <xf numFmtId="3" fontId="41" fillId="7" borderId="1" xfId="0" applyFont="1" applyFill="1" applyBorder="1" applyAlignment="1">
      <alignment horizontal="center" vertical="top" wrapText="1"/>
    </xf>
    <xf numFmtId="3" fontId="42" fillId="0" borderId="1" xfId="0" applyFont="1" applyBorder="1" applyAlignment="1">
      <alignment horizontal="left" vertical="top" wrapText="1"/>
    </xf>
    <xf numFmtId="3" fontId="42" fillId="0" borderId="1" xfId="0" applyFont="1" applyBorder="1" applyAlignment="1">
      <alignment horizontal="center" vertical="top" wrapText="1"/>
    </xf>
    <xf numFmtId="3" fontId="24" fillId="9" borderId="1" xfId="0" applyFont="1" applyFill="1" applyBorder="1" applyAlignment="1">
      <alignment horizontal="center" vertical="center" wrapText="1"/>
    </xf>
    <xf numFmtId="3" fontId="41" fillId="7" borderId="7" xfId="0" applyFont="1" applyFill="1" applyBorder="1" applyAlignment="1">
      <alignment horizontal="center" vertical="top" wrapText="1"/>
    </xf>
    <xf numFmtId="3" fontId="41" fillId="7" borderId="13" xfId="0" applyFont="1" applyFill="1" applyBorder="1" applyAlignment="1">
      <alignment horizontal="center" vertical="top" wrapText="1"/>
    </xf>
    <xf numFmtId="3" fontId="41" fillId="7" borderId="5" xfId="0" applyFont="1" applyFill="1" applyBorder="1" applyAlignment="1">
      <alignment horizontal="center" vertical="top" wrapText="1"/>
    </xf>
    <xf numFmtId="3" fontId="36" fillId="7" borderId="7" xfId="0" applyFont="1" applyFill="1" applyBorder="1" applyAlignment="1">
      <alignment horizontal="center"/>
    </xf>
    <xf numFmtId="3" fontId="36" fillId="7" borderId="13" xfId="0" applyFont="1" applyFill="1" applyBorder="1" applyAlignment="1">
      <alignment horizontal="center"/>
    </xf>
    <xf numFmtId="3" fontId="36" fillId="7" borderId="5" xfId="0" applyFont="1" applyFill="1" applyBorder="1" applyAlignment="1">
      <alignment horizontal="center"/>
    </xf>
    <xf numFmtId="3" fontId="55" fillId="19" borderId="27" xfId="0" applyFont="1" applyFill="1" applyBorder="1" applyAlignment="1">
      <alignment horizontal="center" vertical="center"/>
    </xf>
    <xf numFmtId="3" fontId="55" fillId="19" borderId="28" xfId="0" applyFont="1" applyFill="1" applyBorder="1" applyAlignment="1">
      <alignment horizontal="center" vertical="center"/>
    </xf>
    <xf numFmtId="3" fontId="55" fillId="19" borderId="1" xfId="0" applyFont="1" applyFill="1" applyBorder="1" applyAlignment="1">
      <alignment horizontal="center" vertical="center" wrapText="1"/>
    </xf>
    <xf numFmtId="3" fontId="55" fillId="19" borderId="34" xfId="0" applyFont="1" applyFill="1" applyBorder="1" applyAlignment="1">
      <alignment horizontal="center" vertical="top" wrapText="1"/>
    </xf>
    <xf numFmtId="3" fontId="34" fillId="0" borderId="3" xfId="0" applyFont="1" applyBorder="1" applyAlignment="1">
      <alignment horizontal="center" vertical="center"/>
    </xf>
    <xf numFmtId="3" fontId="34" fillId="7" borderId="1" xfId="0" applyFont="1" applyFill="1" applyBorder="1" applyAlignment="1">
      <alignment horizontal="center" vertical="center" wrapText="1"/>
    </xf>
    <xf numFmtId="3" fontId="0" fillId="0" borderId="0" xfId="0" applyAlignment="1">
      <alignment horizontal="left" vertical="center" wrapText="1"/>
    </xf>
    <xf numFmtId="3" fontId="102" fillId="0" borderId="0" xfId="0" applyFont="1" applyAlignment="1">
      <alignment horizontal="center"/>
    </xf>
    <xf numFmtId="3" fontId="112" fillId="0" borderId="13" xfId="0" applyFont="1" applyBorder="1" applyAlignment="1">
      <alignment horizontal="left"/>
    </xf>
    <xf numFmtId="3" fontId="6" fillId="4" borderId="1" xfId="0" applyFont="1" applyFill="1" applyBorder="1" applyAlignment="1">
      <alignment horizontal="left"/>
    </xf>
    <xf numFmtId="3" fontId="102" fillId="4" borderId="1" xfId="0" applyFont="1" applyFill="1" applyBorder="1" applyAlignment="1">
      <alignment horizontal="left"/>
    </xf>
    <xf numFmtId="3" fontId="6" fillId="4" borderId="1" xfId="0" applyFont="1" applyFill="1" applyBorder="1" applyAlignment="1">
      <alignment horizontal="center"/>
    </xf>
    <xf numFmtId="3" fontId="102" fillId="4" borderId="1" xfId="0" applyFont="1" applyFill="1" applyBorder="1" applyAlignment="1">
      <alignment horizontal="center"/>
    </xf>
    <xf numFmtId="3" fontId="103" fillId="0" borderId="0" xfId="0" applyFont="1">
      <alignment horizontal="left" vertical="center" wrapText="1"/>
    </xf>
    <xf numFmtId="3" fontId="103" fillId="0" borderId="1" xfId="0" applyFont="1" applyBorder="1" applyAlignment="1">
      <alignment horizontal="center" vertical="center" wrapText="1"/>
    </xf>
    <xf numFmtId="3" fontId="115" fillId="0" borderId="1" xfId="0" applyFont="1" applyBorder="1">
      <alignment horizontal="left" vertical="center" wrapText="1"/>
    </xf>
    <xf numFmtId="3" fontId="106" fillId="0" borderId="11" xfId="0" applyFont="1" applyBorder="1" applyAlignment="1">
      <alignment horizontal="center"/>
    </xf>
    <xf numFmtId="3" fontId="105" fillId="0" borderId="4" xfId="0" applyFont="1" applyBorder="1" applyAlignment="1">
      <alignment horizontal="left" vertical="center"/>
    </xf>
    <xf numFmtId="3" fontId="105" fillId="0" borderId="0" xfId="0" applyFont="1" applyAlignment="1">
      <alignment horizontal="left" vertical="center"/>
    </xf>
    <xf numFmtId="3" fontId="5" fillId="0" borderId="11" xfId="0" applyFont="1" applyBorder="1" applyAlignment="1">
      <alignment horizontal="left" vertical="center"/>
    </xf>
    <xf numFmtId="3" fontId="103" fillId="0" borderId="11" xfId="0" applyFont="1" applyBorder="1" applyAlignment="1">
      <alignment horizontal="left" vertical="center"/>
    </xf>
    <xf numFmtId="3" fontId="103" fillId="0" borderId="13" xfId="0" applyFont="1" applyBorder="1" applyAlignment="1">
      <alignment horizontal="left" vertical="center"/>
    </xf>
    <xf numFmtId="3" fontId="113" fillId="0" borderId="3" xfId="0" applyFont="1" applyBorder="1" applyAlignment="1">
      <alignment horizontal="center" vertical="center" wrapText="1"/>
    </xf>
    <xf numFmtId="3" fontId="6" fillId="8" borderId="1" xfId="0" applyFont="1" applyFill="1" applyBorder="1" applyAlignment="1">
      <alignment horizontal="center" vertical="center" wrapText="1"/>
    </xf>
    <xf numFmtId="3" fontId="102" fillId="8" borderId="1" xfId="0" applyFont="1" applyFill="1" applyBorder="1" applyAlignment="1">
      <alignment horizontal="center" vertical="center" wrapText="1"/>
    </xf>
    <xf numFmtId="3" fontId="102" fillId="8" borderId="1" xfId="0" applyFont="1" applyFill="1" applyBorder="1" applyAlignment="1">
      <alignment horizontal="center"/>
    </xf>
    <xf numFmtId="3" fontId="102" fillId="0" borderId="0" xfId="0" applyFont="1" applyAlignment="1"/>
    <xf numFmtId="3" fontId="102" fillId="8" borderId="1" xfId="0" applyFont="1" applyFill="1" applyBorder="1" applyAlignment="1">
      <alignment horizontal="center" vertical="center"/>
    </xf>
    <xf numFmtId="3" fontId="117" fillId="0" borderId="7" xfId="0" applyFont="1" applyBorder="1" applyAlignment="1">
      <alignment horizontal="left" vertical="center"/>
    </xf>
    <xf numFmtId="3" fontId="117" fillId="0" borderId="13" xfId="0" applyFont="1" applyBorder="1" applyAlignment="1">
      <alignment horizontal="left" vertical="center"/>
    </xf>
    <xf numFmtId="3" fontId="117" fillId="0" borderId="5" xfId="0" applyFont="1" applyBorder="1" applyAlignment="1">
      <alignment horizontal="left" vertical="center"/>
    </xf>
    <xf numFmtId="3" fontId="25" fillId="0" borderId="1" xfId="0" applyFont="1" applyBorder="1" applyAlignment="1">
      <alignment horizontal="left" vertical="center"/>
    </xf>
    <xf numFmtId="3" fontId="117" fillId="0" borderId="1" xfId="0" applyFont="1" applyBorder="1" applyAlignment="1">
      <alignment horizontal="left" vertical="center"/>
    </xf>
    <xf numFmtId="3" fontId="118" fillId="0" borderId="7" xfId="0" applyFont="1" applyBorder="1" applyAlignment="1">
      <alignment horizontal="center" vertical="center" wrapText="1"/>
    </xf>
    <xf numFmtId="3" fontId="118" fillId="0" borderId="5" xfId="0" applyFont="1" applyBorder="1" applyAlignment="1">
      <alignment horizontal="center" vertical="center" wrapText="1"/>
    </xf>
    <xf numFmtId="14" fontId="117" fillId="0" borderId="1" xfId="0" applyNumberFormat="1" applyFont="1" applyBorder="1" applyAlignment="1">
      <alignment horizontal="left" vertical="center"/>
    </xf>
    <xf numFmtId="3" fontId="117" fillId="0" borderId="7" xfId="0" applyFont="1" applyBorder="1" applyAlignment="1">
      <alignment horizontal="center" vertical="center" wrapText="1"/>
    </xf>
    <xf numFmtId="3" fontId="117" fillId="0" borderId="13" xfId="0" applyFont="1" applyBorder="1" applyAlignment="1">
      <alignment horizontal="center" vertical="center" wrapText="1"/>
    </xf>
    <xf numFmtId="3" fontId="117" fillId="0" borderId="5" xfId="0" applyFont="1" applyBorder="1" applyAlignment="1">
      <alignment horizontal="center" vertical="center" wrapText="1"/>
    </xf>
    <xf numFmtId="177" fontId="119" fillId="7" borderId="1" xfId="0" applyNumberFormat="1" applyFont="1" applyFill="1" applyBorder="1" applyAlignment="1">
      <alignment vertical="top"/>
    </xf>
    <xf numFmtId="177" fontId="119" fillId="7" borderId="7" xfId="0" applyNumberFormat="1" applyFont="1" applyFill="1" applyBorder="1" applyAlignment="1">
      <alignment vertical="top"/>
    </xf>
    <xf numFmtId="177" fontId="119" fillId="7" borderId="13" xfId="0" applyNumberFormat="1" applyFont="1" applyFill="1" applyBorder="1" applyAlignment="1">
      <alignment vertical="top"/>
    </xf>
    <xf numFmtId="177" fontId="119" fillId="7" borderId="5" xfId="0" applyNumberFormat="1" applyFont="1" applyFill="1" applyBorder="1" applyAlignment="1">
      <alignment vertical="top"/>
    </xf>
    <xf numFmtId="3" fontId="25" fillId="0" borderId="7" xfId="0" applyFont="1" applyBorder="1" applyAlignment="1">
      <alignment horizontal="left" vertical="center"/>
    </xf>
    <xf numFmtId="3" fontId="118" fillId="0" borderId="1" xfId="0" applyFont="1" applyBorder="1">
      <alignment horizontal="left" vertical="center" wrapText="1"/>
    </xf>
    <xf numFmtId="14" fontId="25" fillId="0" borderId="1" xfId="0" applyNumberFormat="1" applyFont="1" applyBorder="1" applyAlignment="1">
      <alignment horizontal="center"/>
    </xf>
    <xf numFmtId="14" fontId="117" fillId="0" borderId="1" xfId="0" applyNumberFormat="1" applyFont="1" applyBorder="1" applyAlignment="1">
      <alignment horizontal="center"/>
    </xf>
    <xf numFmtId="3" fontId="119" fillId="0" borderId="7" xfId="0" applyFont="1" applyBorder="1" applyAlignment="1">
      <alignment horizontal="center"/>
    </xf>
    <xf numFmtId="3" fontId="119" fillId="0" borderId="13" xfId="0" applyFont="1" applyBorder="1" applyAlignment="1">
      <alignment horizontal="center"/>
    </xf>
    <xf numFmtId="3" fontId="119" fillId="0" borderId="5" xfId="0" applyFont="1" applyBorder="1" applyAlignment="1">
      <alignment horizontal="center"/>
    </xf>
    <xf numFmtId="3" fontId="119" fillId="7" borderId="7" xfId="0" applyFont="1" applyFill="1" applyBorder="1" applyAlignment="1">
      <alignment horizontal="center"/>
    </xf>
    <xf numFmtId="3" fontId="119" fillId="7" borderId="13" xfId="0" applyFont="1" applyFill="1" applyBorder="1" applyAlignment="1">
      <alignment horizontal="center"/>
    </xf>
    <xf numFmtId="3" fontId="119" fillId="7" borderId="5" xfId="0" applyFont="1" applyFill="1" applyBorder="1" applyAlignment="1">
      <alignment horizontal="center"/>
    </xf>
    <xf numFmtId="3" fontId="117" fillId="0" borderId="7" xfId="0" applyFont="1" applyBorder="1" applyAlignment="1">
      <alignment horizontal="center" vertical="center"/>
    </xf>
    <xf numFmtId="3" fontId="117" fillId="0" borderId="13" xfId="0" applyFont="1" applyBorder="1" applyAlignment="1">
      <alignment horizontal="center" vertical="center"/>
    </xf>
    <xf numFmtId="3" fontId="117" fillId="0" borderId="5" xfId="0" applyFont="1" applyBorder="1" applyAlignment="1">
      <alignment horizontal="center" vertical="center"/>
    </xf>
    <xf numFmtId="0" fontId="80" fillId="0" borderId="0" xfId="67" applyFont="1" applyAlignment="1">
      <alignment horizontal="left" wrapText="1"/>
    </xf>
    <xf numFmtId="0" fontId="80" fillId="6" borderId="53" xfId="67" applyFont="1" applyFill="1" applyBorder="1" applyAlignment="1">
      <alignment horizontal="left" wrapText="1"/>
    </xf>
    <xf numFmtId="0" fontId="80" fillId="6" borderId="56" xfId="67" applyFont="1" applyFill="1" applyBorder="1" applyAlignment="1">
      <alignment horizontal="left" wrapText="1"/>
    </xf>
    <xf numFmtId="0" fontId="80" fillId="6" borderId="54" xfId="67" applyFont="1" applyFill="1" applyBorder="1" applyAlignment="1">
      <alignment horizontal="center" vertical="center" wrapText="1"/>
    </xf>
    <xf numFmtId="0" fontId="80" fillId="6" borderId="8" xfId="67" applyFont="1" applyFill="1" applyBorder="1" applyAlignment="1">
      <alignment horizontal="center" vertical="center" wrapText="1"/>
    </xf>
    <xf numFmtId="0" fontId="80" fillId="6" borderId="54" xfId="67" applyFont="1" applyFill="1" applyBorder="1" applyAlignment="1">
      <alignment horizontal="center" wrapText="1"/>
    </xf>
    <xf numFmtId="0" fontId="80" fillId="6" borderId="8" xfId="67" applyFont="1" applyFill="1" applyBorder="1" applyAlignment="1">
      <alignment horizontal="center" wrapText="1"/>
    </xf>
    <xf numFmtId="0" fontId="80" fillId="6" borderId="55" xfId="67" applyFont="1" applyFill="1" applyBorder="1" applyAlignment="1">
      <alignment horizontal="center" wrapText="1"/>
    </xf>
    <xf numFmtId="0" fontId="80" fillId="6" borderId="57" xfId="67" applyFont="1" applyFill="1" applyBorder="1" applyAlignment="1">
      <alignment horizontal="center" wrapText="1"/>
    </xf>
    <xf numFmtId="0" fontId="80" fillId="6" borderId="54" xfId="67" applyFont="1" applyFill="1" applyBorder="1" applyAlignment="1">
      <alignment horizontal="left" wrapText="1"/>
    </xf>
    <xf numFmtId="0" fontId="80" fillId="6" borderId="55" xfId="67" applyFont="1" applyFill="1" applyBorder="1" applyAlignment="1">
      <alignment horizontal="left" wrapText="1"/>
    </xf>
    <xf numFmtId="0" fontId="80" fillId="6" borderId="60" xfId="67" applyFont="1" applyFill="1" applyBorder="1" applyAlignment="1">
      <alignment horizontal="left" wrapText="1"/>
    </xf>
    <xf numFmtId="0" fontId="80" fillId="6" borderId="61" xfId="67" applyFont="1" applyFill="1" applyBorder="1" applyAlignment="1">
      <alignment horizontal="left" wrapText="1"/>
    </xf>
    <xf numFmtId="0" fontId="80" fillId="6" borderId="62" xfId="67" applyFont="1" applyFill="1" applyBorder="1" applyAlignment="1">
      <alignment horizontal="left" wrapText="1"/>
    </xf>
    <xf numFmtId="0" fontId="81" fillId="0" borderId="67" xfId="67" applyFont="1" applyBorder="1" applyAlignment="1">
      <alignment horizontal="center" vertical="center"/>
    </xf>
    <xf numFmtId="0" fontId="80" fillId="6" borderId="66" xfId="67" applyFont="1" applyFill="1" applyBorder="1" applyAlignment="1">
      <alignment horizontal="left" vertical="center" wrapText="1"/>
    </xf>
    <xf numFmtId="0" fontId="80" fillId="6" borderId="67" xfId="67" applyFont="1" applyFill="1" applyBorder="1" applyAlignment="1">
      <alignment horizontal="left" vertical="center" wrapText="1"/>
    </xf>
    <xf numFmtId="0" fontId="80" fillId="6" borderId="68" xfId="67" applyFont="1" applyFill="1" applyBorder="1" applyAlignment="1">
      <alignment horizontal="left" vertical="center" wrapText="1"/>
    </xf>
    <xf numFmtId="3" fontId="22" fillId="0" borderId="6" xfId="0" applyFont="1" applyBorder="1" applyAlignment="1">
      <alignment horizontal="center" vertical="center" wrapText="1"/>
    </xf>
    <xf numFmtId="3" fontId="22" fillId="0" borderId="11" xfId="0" applyFont="1" applyBorder="1" applyAlignment="1">
      <alignment horizontal="center" vertical="center" wrapText="1"/>
    </xf>
    <xf numFmtId="3" fontId="22" fillId="7" borderId="7" xfId="0" applyFont="1" applyFill="1" applyBorder="1" applyAlignment="1">
      <alignment horizontal="left"/>
    </xf>
    <xf numFmtId="3" fontId="22" fillId="7" borderId="5" xfId="0" applyFont="1" applyFill="1" applyBorder="1" applyAlignment="1">
      <alignment horizontal="left"/>
    </xf>
    <xf numFmtId="3" fontId="37" fillId="7" borderId="7" xfId="0" applyFont="1" applyFill="1" applyBorder="1" applyAlignment="1">
      <alignment horizontal="left"/>
    </xf>
    <xf numFmtId="3" fontId="37" fillId="7" borderId="5" xfId="0" applyFont="1" applyFill="1" applyBorder="1" applyAlignment="1">
      <alignment horizontal="left"/>
    </xf>
    <xf numFmtId="14" fontId="0" fillId="0" borderId="1" xfId="0" applyNumberFormat="1" applyBorder="1" applyAlignment="1">
      <alignment horizontal="center" vertical="center" wrapText="1"/>
    </xf>
    <xf numFmtId="3" fontId="25" fillId="0" borderId="7" xfId="0" applyFont="1" applyBorder="1" applyAlignment="1">
      <alignment horizontal="left" vertical="center" wrapText="1"/>
    </xf>
    <xf numFmtId="3" fontId="25" fillId="0" borderId="5" xfId="0" applyFont="1" applyBorder="1" applyAlignment="1">
      <alignment horizontal="left" vertical="center" wrapText="1"/>
    </xf>
    <xf numFmtId="3" fontId="25" fillId="0" borderId="1" xfId="0" applyFont="1" applyBorder="1" applyAlignment="1">
      <alignment horizontal="left" vertical="center" wrapText="1"/>
    </xf>
    <xf numFmtId="3" fontId="141" fillId="0" borderId="1" xfId="0" applyFont="1" applyBorder="1" applyAlignment="1">
      <alignment horizontal="left" vertical="center" wrapText="1"/>
    </xf>
    <xf numFmtId="164" fontId="5" fillId="0" borderId="2" xfId="0" applyNumberFormat="1" applyFont="1" applyBorder="1" applyAlignment="1">
      <alignment horizontal="center" vertical="center"/>
    </xf>
    <xf numFmtId="1" fontId="5" fillId="7" borderId="2" xfId="0" applyNumberFormat="1" applyFont="1" applyFill="1" applyBorder="1" applyAlignment="1">
      <alignment horizontal="center" vertical="center"/>
    </xf>
    <xf numFmtId="3" fontId="25" fillId="0" borderId="0" xfId="0" applyFont="1" applyBorder="1">
      <alignment horizontal="left" vertical="center" wrapText="1"/>
    </xf>
    <xf numFmtId="1" fontId="5" fillId="0" borderId="0" xfId="0" applyNumberFormat="1" applyFont="1" applyBorder="1" applyAlignment="1">
      <alignment horizontal="center" vertical="center"/>
    </xf>
    <xf numFmtId="1" fontId="6" fillId="7" borderId="14" xfId="0" applyNumberFormat="1" applyFont="1" applyFill="1" applyBorder="1" applyAlignment="1">
      <alignment horizontal="center" vertical="center"/>
    </xf>
  </cellXfs>
  <cellStyles count="91">
    <cellStyle name="20% - Accent1" xfId="25" builtinId="30" customBuiltin="1"/>
    <cellStyle name="20% - Accent1 2" xfId="74" xr:uid="{495D43B1-3114-4741-A94A-2604907D5F46}"/>
    <cellStyle name="20% - Accent2" xfId="28" builtinId="34" customBuiltin="1"/>
    <cellStyle name="20% - Accent2 2" xfId="76" xr:uid="{741E59BE-F32D-439A-BBB8-C29F31530A84}"/>
    <cellStyle name="20% - Accent3" xfId="31" builtinId="38" customBuiltin="1"/>
    <cellStyle name="20% - Accent3 2" xfId="78" xr:uid="{4DBB8F53-EC4B-4E0C-9020-D1E8EEE75115}"/>
    <cellStyle name="20% - Accent4" xfId="34" builtinId="42" customBuiltin="1"/>
    <cellStyle name="20% - Accent4 2" xfId="80" xr:uid="{C1323960-89EF-4AD6-B68F-ED3AC79451A9}"/>
    <cellStyle name="20% - Accent5" xfId="37" builtinId="46" customBuiltin="1"/>
    <cellStyle name="20% - Accent5 2" xfId="82" xr:uid="{9ECC9D45-4F39-41D9-9754-09405EA84411}"/>
    <cellStyle name="20% - Accent6" xfId="40" builtinId="50" customBuiltin="1"/>
    <cellStyle name="20% - Accent6 2" xfId="84" xr:uid="{FB9DAB00-DEF9-46B1-B3ED-86970EFD6643}"/>
    <cellStyle name="40% - Accent1" xfId="26" builtinId="31" customBuiltin="1"/>
    <cellStyle name="40% - Accent1 2" xfId="75" xr:uid="{41ACA9CC-C37F-4391-BEF6-D10413150BC6}"/>
    <cellStyle name="40% - Accent2" xfId="29" builtinId="35" customBuiltin="1"/>
    <cellStyle name="40% - Accent2 2" xfId="77" xr:uid="{43422BBC-4161-45D5-8E99-231F51FD8ADD}"/>
    <cellStyle name="40% - Accent3" xfId="32" builtinId="39" customBuiltin="1"/>
    <cellStyle name="40% - Accent3 2" xfId="79" xr:uid="{EB6AB6D3-ABC4-4FFE-A161-34AF3AC1A20B}"/>
    <cellStyle name="40% - Accent4" xfId="35" builtinId="43" customBuiltin="1"/>
    <cellStyle name="40% - Accent4 2" xfId="81" xr:uid="{6FA21662-ED5A-4383-A350-13CCC4BCE5BB}"/>
    <cellStyle name="40% - Accent5" xfId="38" builtinId="47" customBuiltin="1"/>
    <cellStyle name="40% - Accent5 2" xfId="83" xr:uid="{5DC28BD5-ACB2-4BA4-B873-86DBEDE514FE}"/>
    <cellStyle name="40% - Accent6" xfId="41" builtinId="51" customBuiltin="1"/>
    <cellStyle name="40% - Accent6 2" xfId="85" xr:uid="{3DF4E584-3897-439B-9361-D84F0D0F1176}"/>
    <cellStyle name="60% - Accent1 2" xfId="47" xr:uid="{00000000-0005-0000-0000-00000C000000}"/>
    <cellStyle name="60% - Accent2 2" xfId="48" xr:uid="{00000000-0005-0000-0000-00000D000000}"/>
    <cellStyle name="60% - Accent3 2" xfId="49" xr:uid="{00000000-0005-0000-0000-00000E000000}"/>
    <cellStyle name="60% - Accent4 2" xfId="50" xr:uid="{00000000-0005-0000-0000-00000F000000}"/>
    <cellStyle name="60% - Accent5 2" xfId="51" xr:uid="{00000000-0005-0000-0000-000010000000}"/>
    <cellStyle name="60% - Accent6 2" xfId="52" xr:uid="{00000000-0005-0000-0000-000011000000}"/>
    <cellStyle name="Accent1" xfId="24" builtinId="29" customBuiltin="1"/>
    <cellStyle name="Accent2" xfId="27" builtinId="33" customBuiltin="1"/>
    <cellStyle name="Accent3" xfId="30" builtinId="37" customBuiltin="1"/>
    <cellStyle name="Accent4" xfId="33" builtinId="41" customBuiltin="1"/>
    <cellStyle name="Accent5" xfId="36" builtinId="45" customBuiltin="1"/>
    <cellStyle name="Accent6" xfId="39" builtinId="49" customBuiltin="1"/>
    <cellStyle name="Bad" xfId="15" builtinId="27" customBuiltin="1"/>
    <cellStyle name="Calculation" xfId="18" builtinId="22" customBuiltin="1"/>
    <cellStyle name="Check Cell" xfId="20" builtinId="23" customBuiltin="1"/>
    <cellStyle name="Comma" xfId="1" builtinId="3"/>
    <cellStyle name="Comma 2" xfId="65" xr:uid="{00000000-0005-0000-0000-00001C000000}"/>
    <cellStyle name="Comma 3" xfId="70" xr:uid="{00000000-0005-0000-0000-00001D000000}"/>
    <cellStyle name="Currency 2" xfId="66" xr:uid="{00000000-0005-0000-0000-00001E000000}"/>
    <cellStyle name="Explanatory Text" xfId="22" builtinId="53" customBuiltin="1"/>
    <cellStyle name="General" xfId="6" xr:uid="{00000000-0005-0000-0000-000020000000}"/>
    <cellStyle name="General 2" xfId="72" xr:uid="{00000000-0005-0000-0000-000002000000}"/>
    <cellStyle name="Good" xfId="8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Hyperlink" xfId="2" builtinId="8" hidden="1"/>
    <cellStyle name="Hyperlink" xfId="7" builtinId="8" hidden="1"/>
    <cellStyle name="Input" xfId="16" builtinId="20" customBuiltin="1"/>
    <cellStyle name="Linked Cell" xfId="19" builtinId="24" customBuiltin="1"/>
    <cellStyle name="Neutral 2" xfId="45" xr:uid="{00000000-0005-0000-0000-00002A000000}"/>
    <cellStyle name="Normal" xfId="0" builtinId="0" customBuiltin="1"/>
    <cellStyle name="Normal 10" xfId="43" xr:uid="{00000000-0005-0000-0000-00002C000000}"/>
    <cellStyle name="Normal 10 2" xfId="86" xr:uid="{1534DDB4-9843-4E79-BDC6-F76512B6FEDF}"/>
    <cellStyle name="Normal 11" xfId="67" xr:uid="{00000000-0005-0000-0000-00002D000000}"/>
    <cellStyle name="Normal 11 2" xfId="88" xr:uid="{3E23EC15-23AC-4E51-9BE7-58113BF3B602}"/>
    <cellStyle name="Normal 12" xfId="71" xr:uid="{00000000-0005-0000-0000-000054000000}"/>
    <cellStyle name="Normal 2" xfId="9" xr:uid="{00000000-0005-0000-0000-00002E000000}"/>
    <cellStyle name="Normal 2 2" xfId="54" xr:uid="{00000000-0005-0000-0000-00002F000000}"/>
    <cellStyle name="Normal 2 2 2" xfId="69" xr:uid="{00000000-0005-0000-0000-000030000000}"/>
    <cellStyle name="Normal 3" xfId="42" xr:uid="{00000000-0005-0000-0000-000031000000}"/>
    <cellStyle name="Normal 3 2" xfId="57" xr:uid="{00000000-0005-0000-0000-000032000000}"/>
    <cellStyle name="Normal 3 3" xfId="64" xr:uid="{00000000-0005-0000-0000-000033000000}"/>
    <cellStyle name="Normal 3 3 2" xfId="55" xr:uid="{00000000-0005-0000-0000-000034000000}"/>
    <cellStyle name="Normal 3 4" xfId="61" xr:uid="{00000000-0005-0000-0000-000035000000}"/>
    <cellStyle name="Normal 3 5" xfId="68" xr:uid="{00000000-0005-0000-0000-000036000000}"/>
    <cellStyle name="Normal 3 5 2" xfId="89" xr:uid="{A704D12F-B7CB-4E95-A504-029AAC776246}"/>
    <cellStyle name="Normal 3 6" xfId="73" xr:uid="{00000000-0005-0000-0000-000006000000}"/>
    <cellStyle name="Normal 3 6 2" xfId="90" xr:uid="{1414B965-6692-490B-B392-C5F89F8FBB6D}"/>
    <cellStyle name="Normal 4" xfId="59" xr:uid="{00000000-0005-0000-0000-000037000000}"/>
    <cellStyle name="Normal 5" xfId="60" xr:uid="{00000000-0005-0000-0000-000038000000}"/>
    <cellStyle name="Normal 6" xfId="58" xr:uid="{00000000-0005-0000-0000-000039000000}"/>
    <cellStyle name="Normal 7" xfId="62" xr:uid="{00000000-0005-0000-0000-00003A000000}"/>
    <cellStyle name="Normal 8" xfId="63" xr:uid="{00000000-0005-0000-0000-00003B000000}"/>
    <cellStyle name="Normal 9" xfId="53" xr:uid="{00000000-0005-0000-0000-00003C000000}"/>
    <cellStyle name="Normal_AnalyteLookUp" xfId="3" xr:uid="{00000000-0005-0000-0000-00003D000000}"/>
    <cellStyle name="Normal_MethodLookUp" xfId="4" xr:uid="{00000000-0005-0000-0000-00003F000000}"/>
    <cellStyle name="Normal_MethodLookUp 2" xfId="10" xr:uid="{00000000-0005-0000-0000-000040000000}"/>
    <cellStyle name="Note 2" xfId="46" xr:uid="{00000000-0005-0000-0000-000041000000}"/>
    <cellStyle name="Note 2 2" xfId="87" xr:uid="{EFD1E3E0-6F25-4FB0-AED3-8E639DAEA5DC}"/>
    <cellStyle name="Output" xfId="17" builtinId="21" customBuiltin="1"/>
    <cellStyle name="Percent" xfId="5" builtinId="5"/>
    <cellStyle name="Percent 2" xfId="56" xr:uid="{00000000-0005-0000-0000-000044000000}"/>
    <cellStyle name="Title 2" xfId="44" xr:uid="{00000000-0005-0000-0000-000045000000}"/>
    <cellStyle name="Total" xfId="23" builtinId="25" customBuiltin="1"/>
    <cellStyle name="Warning Text" xfId="21" builtinId="11" customBuiltin="1"/>
  </cellStyles>
  <dxfs count="6">
    <dxf>
      <fill>
        <patternFill>
          <fgColor indexed="64"/>
          <bgColor rgb="FFFFC7CE"/>
        </patternFill>
      </fill>
    </dxf>
    <dxf>
      <fill>
        <patternFill>
          <fgColor indexed="64"/>
          <bgColor rgb="FFFFC7CE"/>
        </patternFill>
      </fill>
    </dxf>
    <dxf>
      <fill>
        <patternFill>
          <fgColor indexed="64"/>
          <bgColor rgb="FFFFC7CE"/>
        </patternFill>
      </fill>
    </dxf>
    <dxf>
      <fill>
        <patternFill>
          <fgColor indexed="64"/>
          <bgColor rgb="FFFFC7CE"/>
        </patternFill>
      </fill>
    </dxf>
    <dxf>
      <fill>
        <patternFill>
          <fgColor indexed="64"/>
          <bgColor rgb="FFFFC7CE"/>
        </patternFill>
      </fill>
    </dxf>
    <dxf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Bear Creek Reservoir Chlorophyll [ug/l] Trend</a:t>
            </a:r>
          </a:p>
        </c:rich>
      </c:tx>
      <c:layout>
        <c:manualLayout>
          <c:xMode val="edge"/>
          <c:yMode val="edge"/>
          <c:x val="0.24096385542168691"/>
          <c:y val="4.065040650406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385731178093584E-2"/>
          <c:y val="0.19105766902339388"/>
          <c:w val="0.89357604946357594"/>
          <c:h val="0.605693461372036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'Annual Reservoir Trends'!$B$4</c:f>
              <c:strCache>
                <c:ptCount val="1"/>
                <c:pt idx="0">
                  <c:v>Top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numRef>
              <c:f>'Annual Reservoir Trends'!$C$3:$T$3</c:f>
              <c:numCache>
                <c:formatCode>0</c:formatCode>
                <c:ptCount val="1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</c:numCache>
            </c:numRef>
          </c:cat>
          <c:val>
            <c:numRef>
              <c:f>'Annual Reservoir Trends'!$C$4:$T$4</c:f>
              <c:numCache>
                <c:formatCode>0.0</c:formatCode>
                <c:ptCount val="18"/>
                <c:pt idx="0">
                  <c:v>17.670000000000002</c:v>
                </c:pt>
                <c:pt idx="1">
                  <c:v>26.03</c:v>
                </c:pt>
                <c:pt idx="2">
                  <c:v>13.73</c:v>
                </c:pt>
                <c:pt idx="3">
                  <c:v>29.68</c:v>
                </c:pt>
                <c:pt idx="4">
                  <c:v>9.4</c:v>
                </c:pt>
                <c:pt idx="5">
                  <c:v>17.100000000000001</c:v>
                </c:pt>
                <c:pt idx="6">
                  <c:v>8.23</c:v>
                </c:pt>
                <c:pt idx="7">
                  <c:v>4.9000000000000004</c:v>
                </c:pt>
                <c:pt idx="8">
                  <c:v>6.2</c:v>
                </c:pt>
                <c:pt idx="9" formatCode="#,##0">
                  <c:v>23.9</c:v>
                </c:pt>
                <c:pt idx="10" formatCode="#,##0">
                  <c:v>24.6</c:v>
                </c:pt>
                <c:pt idx="11" formatCode="#,##0">
                  <c:v>15.4</c:v>
                </c:pt>
                <c:pt idx="12" formatCode="#,##0">
                  <c:v>14.8</c:v>
                </c:pt>
                <c:pt idx="13" formatCode="#,##0">
                  <c:v>6.6</c:v>
                </c:pt>
                <c:pt idx="14" formatCode="#,##0">
                  <c:v>15.4</c:v>
                </c:pt>
                <c:pt idx="15" formatCode="#,##0">
                  <c:v>9.1</c:v>
                </c:pt>
                <c:pt idx="16" formatCode="#,##0">
                  <c:v>9.3000000000000007</c:v>
                </c:pt>
                <c:pt idx="17" formatCode="#,##0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A-4AB3-B69B-544AFE320386}"/>
            </c:ext>
          </c:extLst>
        </c:ser>
        <c:ser>
          <c:idx val="1"/>
          <c:order val="1"/>
          <c:tx>
            <c:strRef>
              <c:f>'Annual Reservoir Trends'!$B$5</c:f>
              <c:strCache>
                <c:ptCount val="1"/>
                <c:pt idx="0">
                  <c:v>Mid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'Annual Reservoir Trends'!$C$3:$R$3</c:f>
              <c:numCache>
                <c:formatCode>0</c:formatCode>
                <c:ptCount val="16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</c:numCache>
            </c:numRef>
          </c:cat>
          <c:val>
            <c:numRef>
              <c:f>'Annual Reservoir Trends'!$C$5:$M$5</c:f>
            </c:numRef>
          </c:val>
          <c:extLst>
            <c:ext xmlns:c16="http://schemas.microsoft.com/office/drawing/2014/chart" uri="{C3380CC4-5D6E-409C-BE32-E72D297353CC}">
              <c16:uniqueId val="{00000001-4B3A-4AB3-B69B-544AFE320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48000"/>
        <c:axId val="104726912"/>
      </c:barChart>
      <c:catAx>
        <c:axId val="1048480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72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726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848000"/>
        <c:crosses val="autoZero"/>
        <c:crossBetween val="between"/>
      </c:valAx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74899745965498266"/>
          <c:y val="0.17479760151934756"/>
          <c:w val="0.23895624492724449"/>
          <c:h val="0.18292768282015925"/>
        </c:manualLayout>
      </c:layout>
      <c:overlay val="0"/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2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Nitrate Distribution In Water Column</a:t>
            </a:r>
          </a:p>
        </c:rich>
      </c:tx>
      <c:layout>
        <c:manualLayout>
          <c:xMode val="edge"/>
          <c:yMode val="edge"/>
          <c:x val="0.23166023166023444"/>
          <c:y val="3.33333333333333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89822267713464E-2"/>
          <c:y val="0.12820566659936741"/>
          <c:w val="0.87748322517987265"/>
          <c:h val="0.7179503331314356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'Nitrogen Trends'!$E$51</c:f>
              <c:strCache>
                <c:ptCount val="1"/>
                <c:pt idx="0">
                  <c:v>Reservoir Bottom</c:v>
                </c:pt>
              </c:strCache>
            </c:strRef>
          </c:tx>
          <c:spPr>
            <a:ln>
              <a:noFill/>
            </a:ln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cat>
            <c:numRef>
              <c:f>'Nitrogen Trends'!$F$3:$F$27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'Nitrogen Trends'!$G$51:$G$75</c:f>
              <c:numCache>
                <c:formatCode>0</c:formatCode>
                <c:ptCount val="25"/>
                <c:pt idx="0">
                  <c:v>341</c:v>
                </c:pt>
                <c:pt idx="1">
                  <c:v>228</c:v>
                </c:pt>
                <c:pt idx="2">
                  <c:v>332</c:v>
                </c:pt>
                <c:pt idx="3">
                  <c:v>308</c:v>
                </c:pt>
                <c:pt idx="4">
                  <c:v>503</c:v>
                </c:pt>
                <c:pt idx="5">
                  <c:v>560.9375</c:v>
                </c:pt>
                <c:pt idx="6">
                  <c:v>340.9935714285715</c:v>
                </c:pt>
                <c:pt idx="7">
                  <c:v>342</c:v>
                </c:pt>
                <c:pt idx="8">
                  <c:v>231</c:v>
                </c:pt>
                <c:pt idx="9">
                  <c:v>483</c:v>
                </c:pt>
                <c:pt idx="10">
                  <c:v>390</c:v>
                </c:pt>
                <c:pt idx="11">
                  <c:v>268</c:v>
                </c:pt>
                <c:pt idx="12">
                  <c:v>259</c:v>
                </c:pt>
                <c:pt idx="13">
                  <c:v>224</c:v>
                </c:pt>
                <c:pt idx="14">
                  <c:v>210</c:v>
                </c:pt>
                <c:pt idx="15">
                  <c:v>151</c:v>
                </c:pt>
                <c:pt idx="16">
                  <c:v>232</c:v>
                </c:pt>
                <c:pt idx="17">
                  <c:v>230</c:v>
                </c:pt>
                <c:pt idx="18">
                  <c:v>244</c:v>
                </c:pt>
                <c:pt idx="19">
                  <c:v>222</c:v>
                </c:pt>
                <c:pt idx="20">
                  <c:v>186</c:v>
                </c:pt>
                <c:pt idx="21">
                  <c:v>101.8</c:v>
                </c:pt>
                <c:pt idx="22">
                  <c:v>144</c:v>
                </c:pt>
                <c:pt idx="23">
                  <c:v>274</c:v>
                </c:pt>
                <c:pt idx="24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0-4B1F-AF99-46BF5C555CEA}"/>
            </c:ext>
          </c:extLst>
        </c:ser>
        <c:ser>
          <c:idx val="0"/>
          <c:order val="1"/>
          <c:tx>
            <c:strRef>
              <c:f>'Nitrogen Trends'!$E$3</c:f>
              <c:strCache>
                <c:ptCount val="1"/>
                <c:pt idx="0">
                  <c:v>Reservoir Top</c:v>
                </c:pt>
              </c:strCache>
            </c:strRef>
          </c:tx>
          <c:spPr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cat>
            <c:numRef>
              <c:f>'Nitrogen Trends'!$F$3:$F$27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'Nitrogen Trends'!$G$3:$G$27</c:f>
              <c:numCache>
                <c:formatCode>0</c:formatCode>
                <c:ptCount val="25"/>
                <c:pt idx="0">
                  <c:v>442</c:v>
                </c:pt>
                <c:pt idx="1">
                  <c:v>288</c:v>
                </c:pt>
                <c:pt idx="2">
                  <c:v>504</c:v>
                </c:pt>
                <c:pt idx="3">
                  <c:v>382</c:v>
                </c:pt>
                <c:pt idx="4">
                  <c:v>474</c:v>
                </c:pt>
                <c:pt idx="5">
                  <c:v>577.75</c:v>
                </c:pt>
                <c:pt idx="6">
                  <c:v>392.83071428571424</c:v>
                </c:pt>
                <c:pt idx="7">
                  <c:v>388</c:v>
                </c:pt>
                <c:pt idx="8">
                  <c:v>224</c:v>
                </c:pt>
                <c:pt idx="9">
                  <c:v>431</c:v>
                </c:pt>
                <c:pt idx="10">
                  <c:v>401</c:v>
                </c:pt>
                <c:pt idx="11">
                  <c:v>289</c:v>
                </c:pt>
                <c:pt idx="12">
                  <c:v>268</c:v>
                </c:pt>
                <c:pt idx="13">
                  <c:v>268</c:v>
                </c:pt>
                <c:pt idx="14">
                  <c:v>186</c:v>
                </c:pt>
                <c:pt idx="15">
                  <c:v>158</c:v>
                </c:pt>
                <c:pt idx="16">
                  <c:v>222</c:v>
                </c:pt>
                <c:pt idx="17">
                  <c:v>233</c:v>
                </c:pt>
                <c:pt idx="18">
                  <c:v>291</c:v>
                </c:pt>
                <c:pt idx="19">
                  <c:v>287</c:v>
                </c:pt>
                <c:pt idx="20">
                  <c:v>158</c:v>
                </c:pt>
                <c:pt idx="21">
                  <c:v>165</c:v>
                </c:pt>
                <c:pt idx="22">
                  <c:v>161</c:v>
                </c:pt>
                <c:pt idx="23">
                  <c:v>307</c:v>
                </c:pt>
                <c:pt idx="24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0-4B1F-AF99-46BF5C555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07666048"/>
        <c:axId val="107483520"/>
      </c:barChart>
      <c:catAx>
        <c:axId val="1076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en-US"/>
          </a:p>
        </c:txPr>
        <c:crossAx val="10748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483520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Nitrate ug/l</a:t>
                </a:r>
              </a:p>
            </c:rich>
          </c:tx>
          <c:layout>
            <c:manualLayout>
              <c:xMode val="edge"/>
              <c:yMode val="edge"/>
              <c:x val="1.3390233824479856E-2"/>
              <c:y val="0.3703592245774562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07666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6460882484029119"/>
          <c:y val="0.16496148507754108"/>
          <c:w val="0.26166856501430663"/>
          <c:h val="0.12385372881021472"/>
        </c:manualLayout>
      </c:layout>
      <c:overlay val="0"/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 alignWithMargins="0"/>
    <c:pageMargins b="1" l="0.75000000000001465" r="0.7500000000000146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2018 Dissolved Oxygen 1/2 to 2m Compliance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'BCR O2 Record'!$A$4</c:f>
              <c:strCache>
                <c:ptCount val="1"/>
                <c:pt idx="0">
                  <c:v>Average1/2-2m (mg/l)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'BCR O2 Record'!$B$2:$P$2</c:f>
              <c:numCache>
                <c:formatCode>m/d/yyyy</c:formatCode>
                <c:ptCount val="15"/>
                <c:pt idx="0">
                  <c:v>43108</c:v>
                </c:pt>
                <c:pt idx="1">
                  <c:v>43143</c:v>
                </c:pt>
                <c:pt idx="2">
                  <c:v>43178</c:v>
                </c:pt>
                <c:pt idx="3">
                  <c:v>43199</c:v>
                </c:pt>
                <c:pt idx="4">
                  <c:v>43234</c:v>
                </c:pt>
                <c:pt idx="5">
                  <c:v>43262</c:v>
                </c:pt>
                <c:pt idx="6">
                  <c:v>43290</c:v>
                </c:pt>
                <c:pt idx="7">
                  <c:v>43297</c:v>
                </c:pt>
                <c:pt idx="8">
                  <c:v>43319</c:v>
                </c:pt>
                <c:pt idx="9">
                  <c:v>43325</c:v>
                </c:pt>
                <c:pt idx="10">
                  <c:v>43353</c:v>
                </c:pt>
                <c:pt idx="11">
                  <c:v>43369</c:v>
                </c:pt>
                <c:pt idx="12">
                  <c:v>43388</c:v>
                </c:pt>
                <c:pt idx="13">
                  <c:v>43409</c:v>
                </c:pt>
                <c:pt idx="14">
                  <c:v>43444</c:v>
                </c:pt>
              </c:numCache>
            </c:numRef>
          </c:cat>
          <c:val>
            <c:numRef>
              <c:f>'BCR O2 Record'!$B$4:$P$4</c:f>
              <c:numCache>
                <c:formatCode>#,##0.00</c:formatCode>
                <c:ptCount val="15"/>
                <c:pt idx="0">
                  <c:v>12.85</c:v>
                </c:pt>
                <c:pt idx="1">
                  <c:v>12.38</c:v>
                </c:pt>
                <c:pt idx="2">
                  <c:v>9.4600000000000009</c:v>
                </c:pt>
                <c:pt idx="3">
                  <c:v>10.25</c:v>
                </c:pt>
                <c:pt idx="4">
                  <c:v>6.93</c:v>
                </c:pt>
                <c:pt idx="5">
                  <c:v>6.73</c:v>
                </c:pt>
                <c:pt idx="6">
                  <c:v>6.37</c:v>
                </c:pt>
                <c:pt idx="7">
                  <c:v>7.04</c:v>
                </c:pt>
                <c:pt idx="8">
                  <c:v>8.0399999999999991</c:v>
                </c:pt>
                <c:pt idx="9">
                  <c:v>8</c:v>
                </c:pt>
                <c:pt idx="10">
                  <c:v>7.51</c:v>
                </c:pt>
                <c:pt idx="11">
                  <c:v>7.56</c:v>
                </c:pt>
                <c:pt idx="12">
                  <c:v>8.5</c:v>
                </c:pt>
                <c:pt idx="13">
                  <c:v>8.68</c:v>
                </c:pt>
                <c:pt idx="14">
                  <c:v>12.4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7-49F2-BD6B-156A7B91312C}"/>
            </c:ext>
          </c:extLst>
        </c:ser>
        <c:ser>
          <c:idx val="1"/>
          <c:order val="1"/>
          <c:tx>
            <c:strRef>
              <c:f>'BCR O2 Record'!$A$6</c:f>
              <c:strCache>
                <c:ptCount val="1"/>
                <c:pt idx="0">
                  <c:v>DO Compliance (mg/l)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Record'!$B$6:$P$6</c:f>
              <c:numCache>
                <c:formatCode>#,##0.00</c:formatCode>
                <c:ptCount val="1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7-49F2-BD6B-156A7B91312C}"/>
            </c:ext>
          </c:extLst>
        </c:ser>
        <c:ser>
          <c:idx val="2"/>
          <c:order val="2"/>
          <c:tx>
            <c:strRef>
              <c:f>'BCR O2 Record'!$A$7</c:f>
              <c:strCache>
                <c:ptCount val="1"/>
                <c:pt idx="0">
                  <c:v>aerator operation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Record'!$B$7:$P$7</c:f>
              <c:numCache>
                <c:formatCode>#,##0</c:formatCode>
                <c:ptCount val="15"/>
                <c:pt idx="5" formatCode="#,##0.00">
                  <c:v>1</c:v>
                </c:pt>
                <c:pt idx="6" formatCode="#,##0.00">
                  <c:v>1</c:v>
                </c:pt>
                <c:pt idx="7" formatCode="#,##0.00">
                  <c:v>1</c:v>
                </c:pt>
                <c:pt idx="8" formatCode="#,##0.00">
                  <c:v>1</c:v>
                </c:pt>
                <c:pt idx="9" formatCode="#,##0.00">
                  <c:v>1</c:v>
                </c:pt>
                <c:pt idx="10" formatCode="#,##0.00">
                  <c:v>1</c:v>
                </c:pt>
                <c:pt idx="11" formatCode="#,##0.00">
                  <c:v>1</c:v>
                </c:pt>
                <c:pt idx="12" formatCode="#,##0.0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7-49F2-BD6B-156A7B913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1744672"/>
        <c:axId val="571745328"/>
      </c:lineChart>
      <c:dateAx>
        <c:axId val="57174467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5328"/>
        <c:crosses val="autoZero"/>
        <c:auto val="1"/>
        <c:lblOffset val="100"/>
        <c:baseTimeUnit val="days"/>
      </c:dateAx>
      <c:valAx>
        <c:axId val="57174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4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100"/>
              <a:t>2017 Dissolved Oxygen 1/2 to 2m Compliance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'BCR O2 Record'!$A$11</c:f>
              <c:strCache>
                <c:ptCount val="1"/>
                <c:pt idx="0">
                  <c:v>Average1/2-2m (mg/l)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'BCR O2 Record'!$B$9:$P$9</c:f>
              <c:numCache>
                <c:formatCode>m/d/yyyy</c:formatCode>
                <c:ptCount val="15"/>
                <c:pt idx="0">
                  <c:v>42744</c:v>
                </c:pt>
                <c:pt idx="1">
                  <c:v>42779</c:v>
                </c:pt>
                <c:pt idx="2">
                  <c:v>42814</c:v>
                </c:pt>
                <c:pt idx="3">
                  <c:v>42842</c:v>
                </c:pt>
                <c:pt idx="4">
                  <c:v>42877</c:v>
                </c:pt>
                <c:pt idx="5">
                  <c:v>42912</c:v>
                </c:pt>
                <c:pt idx="6">
                  <c:v>42926</c:v>
                </c:pt>
                <c:pt idx="7">
                  <c:v>42933</c:v>
                </c:pt>
                <c:pt idx="8">
                  <c:v>42955</c:v>
                </c:pt>
                <c:pt idx="9">
                  <c:v>42961</c:v>
                </c:pt>
                <c:pt idx="10">
                  <c:v>42989</c:v>
                </c:pt>
                <c:pt idx="11">
                  <c:v>42996</c:v>
                </c:pt>
                <c:pt idx="12">
                  <c:v>43024</c:v>
                </c:pt>
                <c:pt idx="13">
                  <c:v>43052</c:v>
                </c:pt>
                <c:pt idx="14">
                  <c:v>43080</c:v>
                </c:pt>
              </c:numCache>
            </c:numRef>
          </c:cat>
          <c:val>
            <c:numRef>
              <c:f>'BCR O2 Record'!$B$11:$P$11</c:f>
              <c:numCache>
                <c:formatCode>#,##0.00</c:formatCode>
                <c:ptCount val="15"/>
                <c:pt idx="0">
                  <c:v>14.55</c:v>
                </c:pt>
                <c:pt idx="1">
                  <c:v>12.88</c:v>
                </c:pt>
                <c:pt idx="2">
                  <c:v>10.42</c:v>
                </c:pt>
                <c:pt idx="3">
                  <c:v>11.73</c:v>
                </c:pt>
                <c:pt idx="4">
                  <c:v>11.23</c:v>
                </c:pt>
                <c:pt idx="5">
                  <c:v>7.4</c:v>
                </c:pt>
                <c:pt idx="6">
                  <c:v>6.59</c:v>
                </c:pt>
                <c:pt idx="7">
                  <c:v>6.45</c:v>
                </c:pt>
                <c:pt idx="8">
                  <c:v>5.2125000000000004</c:v>
                </c:pt>
                <c:pt idx="9">
                  <c:v>10.015000000000001</c:v>
                </c:pt>
                <c:pt idx="10">
                  <c:v>8.3349999999999991</c:v>
                </c:pt>
                <c:pt idx="11">
                  <c:v>8.6324999999999985</c:v>
                </c:pt>
                <c:pt idx="12">
                  <c:v>8.2349999999999994</c:v>
                </c:pt>
                <c:pt idx="13">
                  <c:v>10.362500000000001</c:v>
                </c:pt>
                <c:pt idx="14">
                  <c:v>11.412499999999998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54-4B82-BD17-69FC123B2319}"/>
            </c:ext>
          </c:extLst>
        </c:ser>
        <c:ser>
          <c:idx val="1"/>
          <c:order val="1"/>
          <c:tx>
            <c:strRef>
              <c:f>'BCR O2 Record'!$A$13</c:f>
              <c:strCache>
                <c:ptCount val="1"/>
                <c:pt idx="0">
                  <c:v>DO Compliance (mg/l)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Record'!$B$13:$P$13</c:f>
              <c:numCache>
                <c:formatCode>#,##0.00</c:formatCode>
                <c:ptCount val="1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54-4B82-BD17-69FC123B2319}"/>
            </c:ext>
          </c:extLst>
        </c:ser>
        <c:ser>
          <c:idx val="2"/>
          <c:order val="2"/>
          <c:tx>
            <c:strRef>
              <c:f>'BCR O2 Record'!$A$14</c:f>
              <c:strCache>
                <c:ptCount val="1"/>
                <c:pt idx="0">
                  <c:v>aerator operation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Record'!$B$14:$P$14</c:f>
              <c:numCache>
                <c:formatCode>#,##0</c:formatCode>
                <c:ptCount val="15"/>
                <c:pt idx="5" formatCode="#,##0.00">
                  <c:v>1</c:v>
                </c:pt>
                <c:pt idx="6" formatCode="#,##0.00">
                  <c:v>1</c:v>
                </c:pt>
                <c:pt idx="7" formatCode="#,##0.00">
                  <c:v>1</c:v>
                </c:pt>
                <c:pt idx="8" formatCode="#,##0.00">
                  <c:v>1</c:v>
                </c:pt>
                <c:pt idx="9" formatCode="#,##0.00">
                  <c:v>1</c:v>
                </c:pt>
                <c:pt idx="10" formatCode="#,##0.00">
                  <c:v>1</c:v>
                </c:pt>
                <c:pt idx="11" formatCode="#,##0.0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54-4B82-BD17-69FC123B2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2705792"/>
        <c:axId val="642707760"/>
      </c:lineChart>
      <c:dateAx>
        <c:axId val="6427057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707760"/>
        <c:crosses val="autoZero"/>
        <c:auto val="1"/>
        <c:lblOffset val="100"/>
        <c:baseTimeUnit val="days"/>
      </c:dateAx>
      <c:valAx>
        <c:axId val="642707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70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Dissolved Oxygen Profiles BCR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'BCR O2 Record'!$T$2:$T$3</c:f>
              <c:strCache>
                <c:ptCount val="2"/>
                <c:pt idx="0">
                  <c:v>Aerator </c:v>
                </c:pt>
                <c:pt idx="1">
                  <c:v>DO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'BCR O2 Record'!$S$4:$S$18</c:f>
              <c:numCache>
                <c:formatCode>#,##0.0</c:formatCode>
                <c:ptCount val="15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</c:numCache>
            </c:numRef>
          </c:cat>
          <c:val>
            <c:numRef>
              <c:f>'BCR O2 Record'!$T$4:$T$18</c:f>
              <c:numCache>
                <c:formatCode>#,##0.00</c:formatCode>
                <c:ptCount val="15"/>
                <c:pt idx="0">
                  <c:v>9.68</c:v>
                </c:pt>
                <c:pt idx="1">
                  <c:v>9.6199999999999992</c:v>
                </c:pt>
                <c:pt idx="2">
                  <c:v>9.34</c:v>
                </c:pt>
                <c:pt idx="3">
                  <c:v>9.17</c:v>
                </c:pt>
                <c:pt idx="4">
                  <c:v>9.07</c:v>
                </c:pt>
                <c:pt idx="5">
                  <c:v>9.0399999999999991</c:v>
                </c:pt>
                <c:pt idx="6">
                  <c:v>9.01</c:v>
                </c:pt>
                <c:pt idx="7">
                  <c:v>9.18</c:v>
                </c:pt>
                <c:pt idx="8">
                  <c:v>8.92</c:v>
                </c:pt>
                <c:pt idx="9">
                  <c:v>9</c:v>
                </c:pt>
                <c:pt idx="10">
                  <c:v>9.1</c:v>
                </c:pt>
                <c:pt idx="11">
                  <c:v>8.91</c:v>
                </c:pt>
                <c:pt idx="12">
                  <c:v>7.96</c:v>
                </c:pt>
                <c:pt idx="13">
                  <c:v>5.32</c:v>
                </c:pt>
                <c:pt idx="14">
                  <c:v>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2-48A5-8272-EA98917F0A1D}"/>
            </c:ext>
          </c:extLst>
        </c:ser>
        <c:ser>
          <c:idx val="2"/>
          <c:order val="1"/>
          <c:tx>
            <c:strRef>
              <c:f>'BCR O2 Record'!$U$2:$U$3</c:f>
              <c:strCache>
                <c:ptCount val="2"/>
                <c:pt idx="0">
                  <c:v>50ft</c:v>
                </c:pt>
                <c:pt idx="1">
                  <c:v>DO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'BCR O2 Record'!$S$4:$S$18</c:f>
              <c:numCache>
                <c:formatCode>#,##0.0</c:formatCode>
                <c:ptCount val="15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</c:numCache>
            </c:numRef>
          </c:cat>
          <c:val>
            <c:numRef>
              <c:f>'BCR O2 Record'!$U$4:$U$18</c:f>
              <c:numCache>
                <c:formatCode>#,##0.00</c:formatCode>
                <c:ptCount val="15"/>
                <c:pt idx="0">
                  <c:v>8.81</c:v>
                </c:pt>
                <c:pt idx="1">
                  <c:v>8.7100000000000009</c:v>
                </c:pt>
                <c:pt idx="2">
                  <c:v>8.93</c:v>
                </c:pt>
                <c:pt idx="3">
                  <c:v>9</c:v>
                </c:pt>
                <c:pt idx="4">
                  <c:v>9.02</c:v>
                </c:pt>
                <c:pt idx="5">
                  <c:v>9.07</c:v>
                </c:pt>
                <c:pt idx="6">
                  <c:v>8.75</c:v>
                </c:pt>
                <c:pt idx="7">
                  <c:v>9</c:v>
                </c:pt>
                <c:pt idx="8">
                  <c:v>9.1</c:v>
                </c:pt>
                <c:pt idx="9">
                  <c:v>9.1</c:v>
                </c:pt>
                <c:pt idx="10">
                  <c:v>8.08</c:v>
                </c:pt>
                <c:pt idx="11">
                  <c:v>8.3000000000000007</c:v>
                </c:pt>
                <c:pt idx="12">
                  <c:v>6.98</c:v>
                </c:pt>
                <c:pt idx="13">
                  <c:v>4.68</c:v>
                </c:pt>
                <c:pt idx="14">
                  <c:v>3.36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F2-48A5-8272-EA98917F0A1D}"/>
            </c:ext>
          </c:extLst>
        </c:ser>
        <c:ser>
          <c:idx val="3"/>
          <c:order val="2"/>
          <c:tx>
            <c:strRef>
              <c:f>'BCR O2 Record'!$V$2:$V$3</c:f>
              <c:strCache>
                <c:ptCount val="2"/>
                <c:pt idx="0">
                  <c:v>100ft</c:v>
                </c:pt>
                <c:pt idx="1">
                  <c:v>DO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'BCR O2 Record'!$S$4:$S$18</c:f>
              <c:numCache>
                <c:formatCode>#,##0.0</c:formatCode>
                <c:ptCount val="15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</c:numCache>
            </c:numRef>
          </c:cat>
          <c:val>
            <c:numRef>
              <c:f>'BCR O2 Record'!$V$4:$V$18</c:f>
              <c:numCache>
                <c:formatCode>#,##0.00</c:formatCode>
                <c:ptCount val="15"/>
                <c:pt idx="0">
                  <c:v>9.69</c:v>
                </c:pt>
                <c:pt idx="1">
                  <c:v>9.68</c:v>
                </c:pt>
                <c:pt idx="2">
                  <c:v>9.5</c:v>
                </c:pt>
                <c:pt idx="3">
                  <c:v>9.6300000000000008</c:v>
                </c:pt>
                <c:pt idx="4">
                  <c:v>9.39</c:v>
                </c:pt>
                <c:pt idx="5">
                  <c:v>9.24</c:v>
                </c:pt>
                <c:pt idx="6">
                  <c:v>9.44</c:v>
                </c:pt>
                <c:pt idx="7">
                  <c:v>9.41</c:v>
                </c:pt>
                <c:pt idx="8">
                  <c:v>8.86</c:v>
                </c:pt>
                <c:pt idx="9">
                  <c:v>8.9</c:v>
                </c:pt>
                <c:pt idx="10">
                  <c:v>8.25</c:v>
                </c:pt>
                <c:pt idx="11">
                  <c:v>9.9499999999999993</c:v>
                </c:pt>
                <c:pt idx="12">
                  <c:v>6.51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F2-48A5-8272-EA98917F0A1D}"/>
            </c:ext>
          </c:extLst>
        </c:ser>
        <c:ser>
          <c:idx val="4"/>
          <c:order val="3"/>
          <c:tx>
            <c:strRef>
              <c:f>'BCR O2 Record'!$W$2:$W$3</c:f>
              <c:strCache>
                <c:ptCount val="2"/>
                <c:pt idx="0">
                  <c:v>250ft</c:v>
                </c:pt>
                <c:pt idx="1">
                  <c:v>DO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'BCR O2 Record'!$S$4:$S$18</c:f>
              <c:numCache>
                <c:formatCode>#,##0.0</c:formatCode>
                <c:ptCount val="15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</c:numCache>
            </c:numRef>
          </c:cat>
          <c:val>
            <c:numRef>
              <c:f>'BCR O2 Record'!$W$4:$W$18</c:f>
              <c:numCache>
                <c:formatCode>#,##0.00</c:formatCode>
                <c:ptCount val="15"/>
                <c:pt idx="0">
                  <c:v>9.43</c:v>
                </c:pt>
                <c:pt idx="1">
                  <c:v>9.5</c:v>
                </c:pt>
                <c:pt idx="2">
                  <c:v>9.51</c:v>
                </c:pt>
                <c:pt idx="3">
                  <c:v>9.1199999999999992</c:v>
                </c:pt>
                <c:pt idx="4">
                  <c:v>9.26</c:v>
                </c:pt>
                <c:pt idx="5">
                  <c:v>9.17</c:v>
                </c:pt>
                <c:pt idx="6">
                  <c:v>8.89</c:v>
                </c:pt>
                <c:pt idx="7">
                  <c:v>8.8800000000000008</c:v>
                </c:pt>
                <c:pt idx="8">
                  <c:v>8.1999999999999993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F2-48A5-8272-EA98917F0A1D}"/>
            </c:ext>
          </c:extLst>
        </c:ser>
        <c:ser>
          <c:idx val="5"/>
          <c:order val="4"/>
          <c:tx>
            <c:strRef>
              <c:f>'BCR O2 Record'!$X$2:$X$3</c:f>
              <c:strCache>
                <c:ptCount val="2"/>
                <c:pt idx="0">
                  <c:v>500ft</c:v>
                </c:pt>
                <c:pt idx="1">
                  <c:v>DO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'BCR O2 Record'!$S$4:$S$18</c:f>
              <c:numCache>
                <c:formatCode>#,##0.0</c:formatCode>
                <c:ptCount val="15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</c:numCache>
            </c:numRef>
          </c:cat>
          <c:val>
            <c:numRef>
              <c:f>'BCR O2 Record'!$X$4:$X$18</c:f>
              <c:numCache>
                <c:formatCode>#,##0.00</c:formatCode>
                <c:ptCount val="15"/>
                <c:pt idx="0">
                  <c:v>8.68</c:v>
                </c:pt>
                <c:pt idx="1">
                  <c:v>8.74</c:v>
                </c:pt>
                <c:pt idx="2">
                  <c:v>8.56</c:v>
                </c:pt>
                <c:pt idx="3">
                  <c:v>8.3800000000000008</c:v>
                </c:pt>
                <c:pt idx="4">
                  <c:v>8.2799999999999994</c:v>
                </c:pt>
                <c:pt idx="5">
                  <c:v>8.36</c:v>
                </c:pt>
                <c:pt idx="6">
                  <c:v>8.4600000000000009</c:v>
                </c:pt>
                <c:pt idx="7">
                  <c:v>8.27</c:v>
                </c:pt>
                <c:pt idx="8">
                  <c:v>8.2200000000000006</c:v>
                </c:pt>
                <c:pt idx="9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2-48A5-8272-EA98917F0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43488"/>
        <c:axId val="525946440"/>
      </c:lineChart>
      <c:catAx>
        <c:axId val="525943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Profile Depth ft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46440"/>
        <c:crosses val="autoZero"/>
        <c:auto val="1"/>
        <c:lblAlgn val="ctr"/>
        <c:lblOffset val="100"/>
        <c:noMultiLvlLbl val="0"/>
      </c:catAx>
      <c:valAx>
        <c:axId val="525946440"/>
        <c:scaling>
          <c:orientation val="minMax"/>
          <c:max val="11"/>
          <c:min val="2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DO 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4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Nitrogen BCR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'Nitrogen Trends'!$H$138</c:f>
              <c:strCache>
                <c:ptCount val="1"/>
                <c:pt idx="0">
                  <c:v>Seasonal Reservoir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'Nitrogen Trends'!$I$136:$Q$136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'Nitrogen Trends'!$I$138:$Q$138</c:f>
              <c:numCache>
                <c:formatCode>#,##0</c:formatCode>
                <c:ptCount val="9"/>
                <c:pt idx="0">
                  <c:v>651.5</c:v>
                </c:pt>
                <c:pt idx="1">
                  <c:v>646.58333333333337</c:v>
                </c:pt>
                <c:pt idx="2">
                  <c:v>868.91666666666663</c:v>
                </c:pt>
                <c:pt idx="3">
                  <c:v>567.41666666666663</c:v>
                </c:pt>
                <c:pt idx="4">
                  <c:v>799</c:v>
                </c:pt>
                <c:pt idx="5">
                  <c:v>670</c:v>
                </c:pt>
                <c:pt idx="6">
                  <c:v>669</c:v>
                </c:pt>
                <c:pt idx="7">
                  <c:v>725</c:v>
                </c:pt>
                <c:pt idx="8">
                  <c:v>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04-40D7-BB3B-20791FDC3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32169448"/>
        <c:axId val="632167152"/>
      </c:barChart>
      <c:catAx>
        <c:axId val="632169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167152"/>
        <c:crosses val="autoZero"/>
        <c:auto val="1"/>
        <c:lblAlgn val="ctr"/>
        <c:lblOffset val="100"/>
        <c:noMultiLvlLbl val="0"/>
      </c:catAx>
      <c:valAx>
        <c:axId val="63216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Nitrogen ug/l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169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Average Total Nitrogen loading into BCR</a:t>
            </a:r>
          </a:p>
        </c:rich>
      </c:tx>
      <c:layout>
        <c:manualLayout>
          <c:xMode val="edge"/>
          <c:yMode val="edge"/>
          <c:x val="0.30331233595800527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090791776027997"/>
          <c:y val="0.17171296296296296"/>
          <c:w val="0.70909208223972009"/>
          <c:h val="0.6080949256342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'Nitrogen Trends'!$H$139</c:f>
              <c:strCache>
                <c:ptCount val="1"/>
                <c:pt idx="0">
                  <c:v>Site 16a-Turkey Creek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'Nitrogen Trends'!$I$136:$Q$136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'Nitrogen Trends'!$I$139:$Q$139</c:f>
              <c:numCache>
                <c:formatCode>#,##0</c:formatCode>
                <c:ptCount val="9"/>
                <c:pt idx="0">
                  <c:v>641</c:v>
                </c:pt>
                <c:pt idx="1">
                  <c:v>698</c:v>
                </c:pt>
                <c:pt idx="2">
                  <c:v>753</c:v>
                </c:pt>
                <c:pt idx="3">
                  <c:v>594</c:v>
                </c:pt>
                <c:pt idx="4">
                  <c:v>981</c:v>
                </c:pt>
                <c:pt idx="5">
                  <c:v>881</c:v>
                </c:pt>
                <c:pt idx="6">
                  <c:v>761</c:v>
                </c:pt>
                <c:pt idx="7">
                  <c:v>750</c:v>
                </c:pt>
                <c:pt idx="8">
                  <c:v>1054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7-496E-A883-BBE794B2374C}"/>
            </c:ext>
          </c:extLst>
        </c:ser>
        <c:ser>
          <c:idx val="1"/>
          <c:order val="1"/>
          <c:tx>
            <c:strRef>
              <c:f>'Nitrogen Trends'!$H$140</c:f>
              <c:strCache>
                <c:ptCount val="1"/>
                <c:pt idx="0">
                  <c:v>Site 15a-Bear Creek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'Nitrogen Trends'!$I$136:$Q$136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'Nitrogen Trends'!$I$140:$Q$140</c:f>
              <c:numCache>
                <c:formatCode>#,##0</c:formatCode>
                <c:ptCount val="9"/>
                <c:pt idx="0">
                  <c:v>1056</c:v>
                </c:pt>
                <c:pt idx="1">
                  <c:v>1517</c:v>
                </c:pt>
                <c:pt idx="2">
                  <c:v>1255</c:v>
                </c:pt>
                <c:pt idx="3">
                  <c:v>695</c:v>
                </c:pt>
                <c:pt idx="4">
                  <c:v>808</c:v>
                </c:pt>
                <c:pt idx="5">
                  <c:v>895</c:v>
                </c:pt>
                <c:pt idx="6">
                  <c:v>790</c:v>
                </c:pt>
                <c:pt idx="7">
                  <c:v>1047</c:v>
                </c:pt>
                <c:pt idx="8">
                  <c:v>1050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C7-496E-A883-BBE794B23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03756536"/>
        <c:axId val="603761784"/>
      </c:barChart>
      <c:catAx>
        <c:axId val="60375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761784"/>
        <c:crosses val="autoZero"/>
        <c:auto val="1"/>
        <c:lblAlgn val="ctr"/>
        <c:lblOffset val="100"/>
        <c:noMultiLvlLbl val="0"/>
      </c:catAx>
      <c:valAx>
        <c:axId val="603761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Nitrogen, ug/l </a:t>
                </a:r>
              </a:p>
            </c:rich>
          </c:tx>
          <c:layout>
            <c:manualLayout>
              <c:xMode val="edge"/>
              <c:yMode val="edge"/>
              <c:x val="0.125"/>
              <c:y val="0.233873578302712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756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Bear Creek Reservoir Annual Average
Total Phosphorus Trend</a:t>
            </a:r>
          </a:p>
        </c:rich>
      </c:tx>
      <c:layout>
        <c:manualLayout>
          <c:xMode val="edge"/>
          <c:yMode val="edge"/>
          <c:x val="0.36817643921738707"/>
          <c:y val="2.13462415673156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15621564061779"/>
          <c:y val="0.13672940150780882"/>
          <c:w val="0.86524972512490061"/>
          <c:h val="0.75335219262131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'Phosphorus Trends'!$A$116</c:f>
              <c:strCache>
                <c:ptCount val="1"/>
                <c:pt idx="0">
                  <c:v>Reservoir Average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trendline>
            <c:spPr>
              <a:ln w="19050" cap="rnd">
                <a:solidFill>
                  <a:schemeClr val="accent1"/>
                </a:solidFill>
              </a:ln>
              <a:effectLst/>
            </c:spPr>
            <c:trendlineType val="poly"/>
            <c:order val="3"/>
            <c:dispRSqr val="0"/>
            <c:dispEq val="0"/>
          </c:trendline>
          <c:cat>
            <c:numRef>
              <c:f>'Phosphorus Trends'!$B$116:$B$145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'Phosphorus Trends'!$C$116:$C$145</c:f>
              <c:numCache>
                <c:formatCode>0</c:formatCode>
                <c:ptCount val="30"/>
                <c:pt idx="0">
                  <c:v>124.33333333333333</c:v>
                </c:pt>
                <c:pt idx="1">
                  <c:v>183.73333333333335</c:v>
                </c:pt>
                <c:pt idx="2">
                  <c:v>162.40476666666666</c:v>
                </c:pt>
                <c:pt idx="3">
                  <c:v>193</c:v>
                </c:pt>
                <c:pt idx="4">
                  <c:v>87.333333333333329</c:v>
                </c:pt>
                <c:pt idx="5">
                  <c:v>41</c:v>
                </c:pt>
                <c:pt idx="6">
                  <c:v>42.895833333333336</c:v>
                </c:pt>
                <c:pt idx="7">
                  <c:v>56.052465322207688</c:v>
                </c:pt>
                <c:pt idx="8">
                  <c:v>47.433333333333337</c:v>
                </c:pt>
                <c:pt idx="9">
                  <c:v>41.666666666666664</c:v>
                </c:pt>
                <c:pt idx="10">
                  <c:v>57.333333333333336</c:v>
                </c:pt>
                <c:pt idx="11">
                  <c:v>49.333333333333336</c:v>
                </c:pt>
                <c:pt idx="12">
                  <c:v>50.199999999999996</c:v>
                </c:pt>
                <c:pt idx="13">
                  <c:v>49.533333333333331</c:v>
                </c:pt>
                <c:pt idx="14">
                  <c:v>31.833333333333329</c:v>
                </c:pt>
                <c:pt idx="15">
                  <c:v>39</c:v>
                </c:pt>
                <c:pt idx="16" formatCode="#,##0">
                  <c:v>24</c:v>
                </c:pt>
                <c:pt idx="17" formatCode="#,##0">
                  <c:v>30.7</c:v>
                </c:pt>
                <c:pt idx="18">
                  <c:v>50.6</c:v>
                </c:pt>
                <c:pt idx="19">
                  <c:v>34.799999999999997</c:v>
                </c:pt>
                <c:pt idx="20">
                  <c:v>33.6</c:v>
                </c:pt>
                <c:pt idx="21">
                  <c:v>40.799999999999997</c:v>
                </c:pt>
                <c:pt idx="22">
                  <c:v>69.8</c:v>
                </c:pt>
                <c:pt idx="23">
                  <c:v>65.599999999999994</c:v>
                </c:pt>
                <c:pt idx="24" formatCode="#,##0">
                  <c:v>30.5</c:v>
                </c:pt>
                <c:pt idx="25" formatCode="#,##0">
                  <c:v>55</c:v>
                </c:pt>
                <c:pt idx="26" formatCode="#,##0">
                  <c:v>63</c:v>
                </c:pt>
                <c:pt idx="27" formatCode="#,##0">
                  <c:v>45</c:v>
                </c:pt>
                <c:pt idx="28" formatCode="#,##0">
                  <c:v>45</c:v>
                </c:pt>
                <c:pt idx="29" formatCode="#,##0">
                  <c:v>65.099999999999994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A-4824-B43D-9BAE904EB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7692032"/>
        <c:axId val="107693568"/>
      </c:barChart>
      <c:catAx>
        <c:axId val="10769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246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9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693568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Phosphorus [ug/l]</a:t>
                </a:r>
              </a:p>
            </c:rich>
          </c:tx>
          <c:layout>
            <c:manualLayout>
              <c:xMode val="edge"/>
              <c:yMode val="edge"/>
              <c:x val="2.1276595744680847E-2"/>
              <c:y val="0.335121340601655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92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Bear Creek Reservoir - Total Phosphorus Average Trends</a:t>
            </a:r>
          </a:p>
        </c:rich>
      </c:tx>
      <c:layout>
        <c:manualLayout>
          <c:xMode val="edge"/>
          <c:yMode val="edge"/>
          <c:x val="0.13982300884955737"/>
          <c:y val="4.64614650441424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399934666029"/>
          <c:y val="0.14130434782608794"/>
          <c:w val="0.86017773452864565"/>
          <c:h val="0.698369565217390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'Phosphorus Trends'!$E$86</c:f>
              <c:strCache>
                <c:ptCount val="1"/>
                <c:pt idx="0">
                  <c:v>Average Inflow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'Phosphorus Trends'!$F$86:$F$115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'Phosphorus Trends'!$G$86:$G$115</c:f>
              <c:numCache>
                <c:formatCode>0</c:formatCode>
                <c:ptCount val="30"/>
                <c:pt idx="0">
                  <c:v>435.5</c:v>
                </c:pt>
                <c:pt idx="1">
                  <c:v>325</c:v>
                </c:pt>
                <c:pt idx="2">
                  <c:v>319.5</c:v>
                </c:pt>
                <c:pt idx="3">
                  <c:v>242.5</c:v>
                </c:pt>
                <c:pt idx="4">
                  <c:v>106.5</c:v>
                </c:pt>
                <c:pt idx="5">
                  <c:v>60</c:v>
                </c:pt>
                <c:pt idx="6">
                  <c:v>37.28125</c:v>
                </c:pt>
                <c:pt idx="7">
                  <c:v>71.546519746997504</c:v>
                </c:pt>
                <c:pt idx="8">
                  <c:v>36.9</c:v>
                </c:pt>
                <c:pt idx="9">
                  <c:v>42.5</c:v>
                </c:pt>
                <c:pt idx="10">
                  <c:v>28</c:v>
                </c:pt>
                <c:pt idx="11">
                  <c:v>22</c:v>
                </c:pt>
                <c:pt idx="12">
                  <c:v>76.100000000000009</c:v>
                </c:pt>
                <c:pt idx="13">
                  <c:v>67.95</c:v>
                </c:pt>
                <c:pt idx="14">
                  <c:v>27.9</c:v>
                </c:pt>
                <c:pt idx="15">
                  <c:v>33.5</c:v>
                </c:pt>
                <c:pt idx="16">
                  <c:v>14.45</c:v>
                </c:pt>
                <c:pt idx="17">
                  <c:v>32</c:v>
                </c:pt>
                <c:pt idx="18">
                  <c:v>26.25</c:v>
                </c:pt>
                <c:pt idx="19">
                  <c:v>27.3</c:v>
                </c:pt>
                <c:pt idx="20">
                  <c:v>32.6</c:v>
                </c:pt>
                <c:pt idx="21">
                  <c:v>24.7</c:v>
                </c:pt>
                <c:pt idx="22">
                  <c:v>47</c:v>
                </c:pt>
                <c:pt idx="23">
                  <c:v>34.6</c:v>
                </c:pt>
                <c:pt idx="24">
                  <c:v>24.15</c:v>
                </c:pt>
                <c:pt idx="25">
                  <c:v>48.5</c:v>
                </c:pt>
                <c:pt idx="26">
                  <c:v>29</c:v>
                </c:pt>
                <c:pt idx="27">
                  <c:v>71</c:v>
                </c:pt>
                <c:pt idx="28">
                  <c:v>36</c:v>
                </c:pt>
                <c:pt idx="29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B-4A68-87FA-89CFC7303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826560"/>
        <c:axId val="107832448"/>
      </c:barChart>
      <c:lineChart>
        <c:grouping val="standard"/>
        <c:varyColors val="0"/>
        <c:ser>
          <c:idx val="1"/>
          <c:order val="1"/>
          <c:tx>
            <c:strRef>
              <c:f>'Phosphorus Trends'!$E$116</c:f>
              <c:strCache>
                <c:ptCount val="1"/>
                <c:pt idx="0">
                  <c:v>Retained In Reservoir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'Phosphorus Trends'!$F$86:$F$115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'Phosphorus Trends'!$G$116:$G$145</c:f>
              <c:numCache>
                <c:formatCode>0</c:formatCode>
                <c:ptCount val="30"/>
                <c:pt idx="0">
                  <c:v>307.5</c:v>
                </c:pt>
                <c:pt idx="1">
                  <c:v>144</c:v>
                </c:pt>
                <c:pt idx="2">
                  <c:v>162.5</c:v>
                </c:pt>
                <c:pt idx="3">
                  <c:v>65.5</c:v>
                </c:pt>
                <c:pt idx="4">
                  <c:v>14.5</c:v>
                </c:pt>
                <c:pt idx="5">
                  <c:v>24</c:v>
                </c:pt>
                <c:pt idx="6">
                  <c:v>2.34375</c:v>
                </c:pt>
                <c:pt idx="7">
                  <c:v>32.546519746997504</c:v>
                </c:pt>
                <c:pt idx="8">
                  <c:v>2.3999999999999986</c:v>
                </c:pt>
                <c:pt idx="9">
                  <c:v>7.5</c:v>
                </c:pt>
                <c:pt idx="10">
                  <c:v>-30</c:v>
                </c:pt>
                <c:pt idx="11">
                  <c:v>-24</c:v>
                </c:pt>
                <c:pt idx="12">
                  <c:v>29.20000000000001</c:v>
                </c:pt>
                <c:pt idx="13">
                  <c:v>4.6500000000000057</c:v>
                </c:pt>
                <c:pt idx="14">
                  <c:v>-2.2000000000000028</c:v>
                </c:pt>
                <c:pt idx="15">
                  <c:v>1.5</c:v>
                </c:pt>
                <c:pt idx="16">
                  <c:v>-8.3500000000000014</c:v>
                </c:pt>
                <c:pt idx="17">
                  <c:v>1</c:v>
                </c:pt>
                <c:pt idx="18">
                  <c:v>-2.75</c:v>
                </c:pt>
                <c:pt idx="19">
                  <c:v>3.1000000000000014</c:v>
                </c:pt>
                <c:pt idx="20">
                  <c:v>1.5</c:v>
                </c:pt>
                <c:pt idx="21">
                  <c:v>-14.8</c:v>
                </c:pt>
                <c:pt idx="22">
                  <c:v>-8.8999999999999986</c:v>
                </c:pt>
                <c:pt idx="23">
                  <c:v>-47.800000000000004</c:v>
                </c:pt>
                <c:pt idx="24">
                  <c:v>-0.85000000000000142</c:v>
                </c:pt>
                <c:pt idx="25">
                  <c:v>10.5</c:v>
                </c:pt>
                <c:pt idx="26">
                  <c:v>-10</c:v>
                </c:pt>
                <c:pt idx="27">
                  <c:v>27</c:v>
                </c:pt>
                <c:pt idx="28">
                  <c:v>4</c:v>
                </c:pt>
                <c:pt idx="29">
                  <c:v>-13.600000000000001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B-4A68-87FA-89CFC730313C}"/>
            </c:ext>
          </c:extLst>
        </c:ser>
        <c:ser>
          <c:idx val="2"/>
          <c:order val="2"/>
          <c:tx>
            <c:strRef>
              <c:f>'Phosphorus Trends'!$A$86</c:f>
              <c:strCache>
                <c:ptCount val="1"/>
                <c:pt idx="0">
                  <c:v>Bear Creek Outflow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'Phosphorus Trends'!$F$86:$F$115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'Phosphorus Trends'!$C$86:$C$115</c:f>
              <c:numCache>
                <c:formatCode>0</c:formatCode>
                <c:ptCount val="30"/>
                <c:pt idx="0">
                  <c:v>128</c:v>
                </c:pt>
                <c:pt idx="1">
                  <c:v>181</c:v>
                </c:pt>
                <c:pt idx="2">
                  <c:v>157</c:v>
                </c:pt>
                <c:pt idx="3">
                  <c:v>177</c:v>
                </c:pt>
                <c:pt idx="4">
                  <c:v>92</c:v>
                </c:pt>
                <c:pt idx="5">
                  <c:v>36</c:v>
                </c:pt>
                <c:pt idx="6">
                  <c:v>34.9375</c:v>
                </c:pt>
                <c:pt idx="7">
                  <c:v>39</c:v>
                </c:pt>
                <c:pt idx="8">
                  <c:v>34.5</c:v>
                </c:pt>
                <c:pt idx="9">
                  <c:v>35</c:v>
                </c:pt>
                <c:pt idx="10">
                  <c:v>58</c:v>
                </c:pt>
                <c:pt idx="11">
                  <c:v>46</c:v>
                </c:pt>
                <c:pt idx="12">
                  <c:v>46.9</c:v>
                </c:pt>
                <c:pt idx="13">
                  <c:v>63.3</c:v>
                </c:pt>
                <c:pt idx="14">
                  <c:v>30.1</c:v>
                </c:pt>
                <c:pt idx="15">
                  <c:v>32</c:v>
                </c:pt>
                <c:pt idx="16">
                  <c:v>22.8</c:v>
                </c:pt>
                <c:pt idx="17">
                  <c:v>31</c:v>
                </c:pt>
                <c:pt idx="18">
                  <c:v>29</c:v>
                </c:pt>
                <c:pt idx="19">
                  <c:v>24.2</c:v>
                </c:pt>
                <c:pt idx="20">
                  <c:v>31.1</c:v>
                </c:pt>
                <c:pt idx="21">
                  <c:v>39.5</c:v>
                </c:pt>
                <c:pt idx="22">
                  <c:v>55.9</c:v>
                </c:pt>
                <c:pt idx="23">
                  <c:v>82.4</c:v>
                </c:pt>
                <c:pt idx="24">
                  <c:v>25</c:v>
                </c:pt>
                <c:pt idx="25">
                  <c:v>38</c:v>
                </c:pt>
                <c:pt idx="26">
                  <c:v>39</c:v>
                </c:pt>
                <c:pt idx="27">
                  <c:v>44</c:v>
                </c:pt>
                <c:pt idx="28">
                  <c:v>32</c:v>
                </c:pt>
                <c:pt idx="29">
                  <c:v>48.6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2B-4A68-87FA-89CFC7303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26560"/>
        <c:axId val="107832448"/>
      </c:lineChart>
      <c:catAx>
        <c:axId val="10782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264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32448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107832448"/>
        <c:scaling>
          <c:orientation val="minMax"/>
          <c:max val="500"/>
          <c:min val="-5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Phosphorus [ug/l]
</a:t>
                </a:r>
              </a:p>
            </c:rich>
          </c:tx>
          <c:layout>
            <c:manualLayout>
              <c:xMode val="edge"/>
              <c:yMode val="edge"/>
              <c:x val="8.8495575221241747E-3"/>
              <c:y val="0.30706521739130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2656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2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Bear Creek Watershed - Total Phosphorus Loading Trends 
</a:t>
            </a:r>
          </a:p>
        </c:rich>
      </c:tx>
      <c:layout>
        <c:manualLayout>
          <c:xMode val="edge"/>
          <c:yMode val="edge"/>
          <c:x val="0.19651347068145841"/>
          <c:y val="3.4482758620689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748087692594582E-2"/>
          <c:y val="0.1285268424992079"/>
          <c:w val="0.9033287497281951"/>
          <c:h val="0.746082646702718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'Phosphorus Trends'!$E$3</c:f>
              <c:strCache>
                <c:ptCount val="1"/>
                <c:pt idx="0">
                  <c:v>Bear Creek Inflow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'Phosphorus Trends'!$F$3:$F$32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'Phosphorus Trends'!$G$3:$G$32</c:f>
              <c:numCache>
                <c:formatCode>0</c:formatCode>
                <c:ptCount val="30"/>
                <c:pt idx="0">
                  <c:v>334</c:v>
                </c:pt>
                <c:pt idx="1">
                  <c:v>267</c:v>
                </c:pt>
                <c:pt idx="2">
                  <c:v>277</c:v>
                </c:pt>
                <c:pt idx="3">
                  <c:v>216</c:v>
                </c:pt>
                <c:pt idx="4">
                  <c:v>122</c:v>
                </c:pt>
                <c:pt idx="5">
                  <c:v>73</c:v>
                </c:pt>
                <c:pt idx="6">
                  <c:v>58.5</c:v>
                </c:pt>
                <c:pt idx="7">
                  <c:v>63.093039493995008</c:v>
                </c:pt>
                <c:pt idx="8">
                  <c:v>40.799999999999997</c:v>
                </c:pt>
                <c:pt idx="9">
                  <c:v>38</c:v>
                </c:pt>
                <c:pt idx="10">
                  <c:v>37</c:v>
                </c:pt>
                <c:pt idx="11">
                  <c:v>22</c:v>
                </c:pt>
                <c:pt idx="12">
                  <c:v>137.30000000000001</c:v>
                </c:pt>
                <c:pt idx="13">
                  <c:v>113.3</c:v>
                </c:pt>
                <c:pt idx="14">
                  <c:v>34.1</c:v>
                </c:pt>
                <c:pt idx="15">
                  <c:v>44</c:v>
                </c:pt>
                <c:pt idx="16">
                  <c:v>21.3</c:v>
                </c:pt>
                <c:pt idx="17">
                  <c:v>41</c:v>
                </c:pt>
                <c:pt idx="18">
                  <c:v>37.700000000000003</c:v>
                </c:pt>
                <c:pt idx="19">
                  <c:v>19.100000000000001</c:v>
                </c:pt>
                <c:pt idx="20">
                  <c:v>45.9</c:v>
                </c:pt>
                <c:pt idx="21">
                  <c:v>36.9</c:v>
                </c:pt>
                <c:pt idx="22">
                  <c:v>61.7</c:v>
                </c:pt>
                <c:pt idx="23">
                  <c:v>47.4</c:v>
                </c:pt>
                <c:pt idx="24">
                  <c:v>28.4</c:v>
                </c:pt>
                <c:pt idx="25">
                  <c:v>43</c:v>
                </c:pt>
                <c:pt idx="26">
                  <c:v>33</c:v>
                </c:pt>
                <c:pt idx="27">
                  <c:v>64</c:v>
                </c:pt>
                <c:pt idx="28">
                  <c:v>49</c:v>
                </c:pt>
                <c:pt idx="29">
                  <c:v>41.2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F-4FF8-95C9-B55405DB1048}"/>
            </c:ext>
          </c:extLst>
        </c:ser>
        <c:ser>
          <c:idx val="1"/>
          <c:order val="1"/>
          <c:tx>
            <c:strRef>
              <c:f>'Phosphorus Trends'!$E$54</c:f>
              <c:strCache>
                <c:ptCount val="1"/>
                <c:pt idx="0">
                  <c:v>Turkey Creek Inflow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'Phosphorus Trends'!$F$3:$F$32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'Phosphorus Trends'!$G$54:$G$83</c:f>
              <c:numCache>
                <c:formatCode>0</c:formatCode>
                <c:ptCount val="30"/>
                <c:pt idx="0" formatCode="#,##0">
                  <c:v>537</c:v>
                </c:pt>
                <c:pt idx="1">
                  <c:v>383</c:v>
                </c:pt>
                <c:pt idx="2">
                  <c:v>362</c:v>
                </c:pt>
                <c:pt idx="3">
                  <c:v>269</c:v>
                </c:pt>
                <c:pt idx="4">
                  <c:v>91</c:v>
                </c:pt>
                <c:pt idx="5">
                  <c:v>47</c:v>
                </c:pt>
                <c:pt idx="6">
                  <c:v>16.0625</c:v>
                </c:pt>
                <c:pt idx="7" formatCode="0.0_)">
                  <c:v>80</c:v>
                </c:pt>
                <c:pt idx="8" formatCode="0.0_)">
                  <c:v>33</c:v>
                </c:pt>
                <c:pt idx="9" formatCode="0.0_)">
                  <c:v>47</c:v>
                </c:pt>
                <c:pt idx="10" formatCode="0.0_)">
                  <c:v>19</c:v>
                </c:pt>
                <c:pt idx="11" formatCode="0.0_)">
                  <c:v>22</c:v>
                </c:pt>
                <c:pt idx="12" formatCode="0.0_)">
                  <c:v>14.9</c:v>
                </c:pt>
                <c:pt idx="13" formatCode="0.0_)">
                  <c:v>22.6</c:v>
                </c:pt>
                <c:pt idx="14" formatCode="0.0_)">
                  <c:v>21.7</c:v>
                </c:pt>
                <c:pt idx="15" formatCode="0.0_)">
                  <c:v>23</c:v>
                </c:pt>
                <c:pt idx="16" formatCode="0.0_)">
                  <c:v>7.6</c:v>
                </c:pt>
                <c:pt idx="17" formatCode="0.0_)">
                  <c:v>23</c:v>
                </c:pt>
                <c:pt idx="18" formatCode="0.0_)">
                  <c:v>14.8</c:v>
                </c:pt>
                <c:pt idx="19" formatCode="0.0_)">
                  <c:v>35.5</c:v>
                </c:pt>
                <c:pt idx="20" formatCode="0.0_)">
                  <c:v>19.3</c:v>
                </c:pt>
                <c:pt idx="21" formatCode="0.0_)">
                  <c:v>12.5</c:v>
                </c:pt>
                <c:pt idx="22" formatCode="0.0_)">
                  <c:v>32.299999999999997</c:v>
                </c:pt>
                <c:pt idx="23" formatCode="0.0_)">
                  <c:v>21.8</c:v>
                </c:pt>
                <c:pt idx="24" formatCode="0.0_)">
                  <c:v>19.899999999999999</c:v>
                </c:pt>
                <c:pt idx="25" formatCode="0.0_)">
                  <c:v>54</c:v>
                </c:pt>
                <c:pt idx="26" formatCode="0.0_)">
                  <c:v>25</c:v>
                </c:pt>
                <c:pt idx="27" formatCode="0.0_)">
                  <c:v>79</c:v>
                </c:pt>
                <c:pt idx="28" formatCode="0.0_)">
                  <c:v>24</c:v>
                </c:pt>
                <c:pt idx="29" formatCode="0.0_)">
                  <c:v>29.7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F-4FF8-95C9-B55405DB1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7845120"/>
        <c:axId val="107846656"/>
      </c:barChart>
      <c:catAx>
        <c:axId val="10784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4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84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Phosphorus [ug/l]</a:t>
                </a:r>
              </a:p>
            </c:rich>
          </c:tx>
          <c:layout>
            <c:manualLayout>
              <c:xMode val="edge"/>
              <c:yMode val="edge"/>
              <c:x val="7.9239302694136312E-3"/>
              <c:y val="0.235110046980804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4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Phosphorus Distributon In Water Column</a:t>
            </a:r>
          </a:p>
        </c:rich>
      </c:tx>
      <c:layout>
        <c:manualLayout>
          <c:xMode val="edge"/>
          <c:yMode val="edge"/>
          <c:x val="0.21894409937890799"/>
          <c:y val="3.3333333333333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99613899616375"/>
          <c:y val="0.11794925634295711"/>
          <c:w val="0.83397683397683464"/>
          <c:h val="0.685574869179088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'Phosphorus Trends'!$A$3</c:f>
              <c:strCache>
                <c:ptCount val="1"/>
                <c:pt idx="0">
                  <c:v>Reservoir Bottom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65000"/>
                    <a:shade val="51000"/>
                    <a:satMod val="130000"/>
                  </a:schemeClr>
                </a:gs>
                <a:gs pos="80000">
                  <a:schemeClr val="accent1">
                    <a:tint val="65000"/>
                    <a:shade val="93000"/>
                    <a:satMod val="130000"/>
                  </a:schemeClr>
                </a:gs>
                <a:gs pos="100000">
                  <a:schemeClr val="accent1">
                    <a:tint val="65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'Phosphorus Trends'!$B$54:$B$83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'Phosphorus Trends'!$C$3:$C$32</c:f>
              <c:numCache>
                <c:formatCode>0</c:formatCode>
                <c:ptCount val="30"/>
                <c:pt idx="0">
                  <c:v>119.5</c:v>
                </c:pt>
                <c:pt idx="1">
                  <c:v>270</c:v>
                </c:pt>
                <c:pt idx="2">
                  <c:v>201</c:v>
                </c:pt>
                <c:pt idx="3">
                  <c:v>240</c:v>
                </c:pt>
                <c:pt idx="4">
                  <c:v>100</c:v>
                </c:pt>
                <c:pt idx="5">
                  <c:v>52</c:v>
                </c:pt>
                <c:pt idx="6">
                  <c:v>66.1875</c:v>
                </c:pt>
                <c:pt idx="7">
                  <c:v>85.579818007202547</c:v>
                </c:pt>
                <c:pt idx="8">
                  <c:v>69.2</c:v>
                </c:pt>
                <c:pt idx="9">
                  <c:v>54</c:v>
                </c:pt>
                <c:pt idx="10">
                  <c:v>56</c:v>
                </c:pt>
                <c:pt idx="11">
                  <c:v>64</c:v>
                </c:pt>
                <c:pt idx="12">
                  <c:v>55.5</c:v>
                </c:pt>
                <c:pt idx="13">
                  <c:v>52.9</c:v>
                </c:pt>
                <c:pt idx="14">
                  <c:v>44.3</c:v>
                </c:pt>
                <c:pt idx="15">
                  <c:v>47</c:v>
                </c:pt>
                <c:pt idx="16">
                  <c:v>26</c:v>
                </c:pt>
                <c:pt idx="17">
                  <c:v>31</c:v>
                </c:pt>
                <c:pt idx="18">
                  <c:v>62.2</c:v>
                </c:pt>
                <c:pt idx="19">
                  <c:v>35.299999999999997</c:v>
                </c:pt>
                <c:pt idx="20">
                  <c:v>38.9</c:v>
                </c:pt>
                <c:pt idx="21">
                  <c:v>47.9</c:v>
                </c:pt>
                <c:pt idx="22">
                  <c:v>69.8</c:v>
                </c:pt>
                <c:pt idx="23">
                  <c:v>59.8</c:v>
                </c:pt>
                <c:pt idx="24">
                  <c:v>36.1</c:v>
                </c:pt>
                <c:pt idx="25">
                  <c:v>69</c:v>
                </c:pt>
                <c:pt idx="26">
                  <c:v>93</c:v>
                </c:pt>
                <c:pt idx="27">
                  <c:v>57</c:v>
                </c:pt>
                <c:pt idx="28">
                  <c:v>48</c:v>
                </c:pt>
                <c:pt idx="29">
                  <c:v>91.7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1-4345-8250-025F4C5C5A25}"/>
            </c:ext>
          </c:extLst>
        </c:ser>
        <c:ser>
          <c:idx val="0"/>
          <c:order val="1"/>
          <c:tx>
            <c:strRef>
              <c:f>'Phosphorus Trends'!$A$54</c:f>
              <c:strCache>
                <c:ptCount val="1"/>
                <c:pt idx="0">
                  <c:v>Reservoir Top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65000"/>
                    <a:shade val="51000"/>
                    <a:satMod val="130000"/>
                  </a:schemeClr>
                </a:gs>
                <a:gs pos="80000">
                  <a:schemeClr val="accent1">
                    <a:shade val="65000"/>
                    <a:shade val="93000"/>
                    <a:satMod val="130000"/>
                  </a:schemeClr>
                </a:gs>
                <a:gs pos="100000">
                  <a:schemeClr val="accent1">
                    <a:shade val="65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'Phosphorus Trends'!$B$54:$B$83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'Phosphorus Trends'!$C$54:$C$83</c:f>
              <c:numCache>
                <c:formatCode>0</c:formatCode>
                <c:ptCount val="30"/>
                <c:pt idx="0">
                  <c:v>129</c:v>
                </c:pt>
                <c:pt idx="1">
                  <c:v>144</c:v>
                </c:pt>
                <c:pt idx="2">
                  <c:v>146</c:v>
                </c:pt>
                <c:pt idx="3">
                  <c:v>175</c:v>
                </c:pt>
                <c:pt idx="4">
                  <c:v>83</c:v>
                </c:pt>
                <c:pt idx="5">
                  <c:v>34</c:v>
                </c:pt>
                <c:pt idx="6">
                  <c:v>29.4375</c:v>
                </c:pt>
                <c:pt idx="7" formatCode="0.0_)">
                  <c:v>38</c:v>
                </c:pt>
                <c:pt idx="8" formatCode="0.0_)">
                  <c:v>33.299999999999997</c:v>
                </c:pt>
                <c:pt idx="9" formatCode="0.0_)">
                  <c:v>34</c:v>
                </c:pt>
                <c:pt idx="10" formatCode="0.0_)">
                  <c:v>59</c:v>
                </c:pt>
                <c:pt idx="11" formatCode="0.0_)">
                  <c:v>42</c:v>
                </c:pt>
                <c:pt idx="12" formatCode="0.0_)">
                  <c:v>46.1</c:v>
                </c:pt>
                <c:pt idx="13" formatCode="0.0_)">
                  <c:v>49.1</c:v>
                </c:pt>
                <c:pt idx="14" formatCode="0.0_)">
                  <c:v>24.3</c:v>
                </c:pt>
                <c:pt idx="15" formatCode="0.0_)">
                  <c:v>33</c:v>
                </c:pt>
                <c:pt idx="16" formatCode="0.0_)">
                  <c:v>21.6</c:v>
                </c:pt>
                <c:pt idx="17" formatCode="0.0_)">
                  <c:v>30</c:v>
                </c:pt>
                <c:pt idx="18" formatCode="0.0_)">
                  <c:v>39.799999999999997</c:v>
                </c:pt>
                <c:pt idx="19" formatCode="0.0_)">
                  <c:v>34.200000000000003</c:v>
                </c:pt>
                <c:pt idx="20" formatCode="0.0_)">
                  <c:v>28.3</c:v>
                </c:pt>
                <c:pt idx="21" formatCode="0.0_)">
                  <c:v>33.700000000000003</c:v>
                </c:pt>
                <c:pt idx="22" formatCode="0.0_)">
                  <c:v>53.4</c:v>
                </c:pt>
                <c:pt idx="23" formatCode="0.0_)">
                  <c:v>71.400000000000006</c:v>
                </c:pt>
                <c:pt idx="24" formatCode="0.0_)">
                  <c:v>24.8</c:v>
                </c:pt>
                <c:pt idx="25" formatCode="0.0_)">
                  <c:v>42</c:v>
                </c:pt>
                <c:pt idx="26" formatCode="0.0_)">
                  <c:v>38</c:v>
                </c:pt>
                <c:pt idx="27" formatCode="0.0_)">
                  <c:v>33</c:v>
                </c:pt>
                <c:pt idx="28" formatCode="0.0_)">
                  <c:v>41</c:v>
                </c:pt>
                <c:pt idx="29" formatCode="0.0_)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1-4345-8250-025F4C5C5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859328"/>
        <c:axId val="107746432"/>
      </c:barChart>
      <c:catAx>
        <c:axId val="10785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4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74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Phosphorus ug/l</a:t>
                </a:r>
              </a:p>
            </c:rich>
          </c:tx>
          <c:layout>
            <c:manualLayout>
              <c:xMode val="edge"/>
              <c:yMode val="edge"/>
              <c:x val="3.7099166951957092E-2"/>
              <c:y val="0.215030621172353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59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BCR Total Phosphorus Load (Pounds, %) </a:t>
            </a:r>
          </a:p>
        </c:rich>
      </c:tx>
      <c:layout>
        <c:manualLayout>
          <c:xMode val="edge"/>
          <c:yMode val="edge"/>
          <c:x val="5.4544541865420987E-2"/>
          <c:y val="1.6889439936341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6940385070347268E-2"/>
          <c:y val="0.14735383106488892"/>
          <c:w val="0.98305964457569406"/>
          <c:h val="0.81889837800827192"/>
        </c:manualLayout>
      </c:layout>
      <c:pie3DChart>
        <c:varyColors val="1"/>
        <c:ser>
          <c:idx val="0"/>
          <c:order val="0"/>
          <c:tx>
            <c:strRef>
              <c:f>Loading!$A$31</c:f>
              <c:strCache>
                <c:ptCount val="1"/>
                <c:pt idx="0">
                  <c:v>Total Phosphorus Pounds</c:v>
                </c:pt>
              </c:strCache>
            </c:strRef>
          </c:tx>
          <c:explosion val="45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0143-475B-AE6E-8C9DE087EEA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0-0143-475B-AE6E-8C9DE087EEA7}"/>
              </c:ext>
            </c:extLst>
          </c:dPt>
          <c:dLbls>
            <c:dLbl>
              <c:idx val="0"/>
              <c:layout>
                <c:manualLayout>
                  <c:x val="7.5467986870189574E-2"/>
                  <c:y val="0.1714877355959177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43-475B-AE6E-8C9DE087EEA7}"/>
                </c:ext>
              </c:extLst>
            </c:dLbl>
            <c:dLbl>
              <c:idx val="1"/>
              <c:layout>
                <c:manualLayout>
                  <c:x val="0.18875663736834156"/>
                  <c:y val="-0.2749758042876837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43-475B-AE6E-8C9DE087EEA7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Loading!$A$32:$A$33</c:f>
              <c:strCache>
                <c:ptCount val="2"/>
                <c:pt idx="0">
                  <c:v>Site 16a-Turkey Creek Inflow</c:v>
                </c:pt>
                <c:pt idx="1">
                  <c:v>Site 15a-Bear Creek Inflow</c:v>
                </c:pt>
              </c:strCache>
            </c:strRef>
          </c:cat>
          <c:val>
            <c:numRef>
              <c:f>Loading!$N$32:$N$33</c:f>
              <c:numCache>
                <c:formatCode>#,##0</c:formatCode>
                <c:ptCount val="2"/>
                <c:pt idx="0">
                  <c:v>233.85626706644999</c:v>
                </c:pt>
                <c:pt idx="1">
                  <c:v>1817.7834163923003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43-475B-AE6E-8C9DE087EEA7}"/>
            </c:ext>
          </c:extLst>
        </c:ser>
        <c:dLbls>
          <c:showLegendKey val="0"/>
          <c:showVal val="1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BCR Estimated Inflow  (acre-feet, %)</a:t>
            </a:r>
          </a:p>
        </c:rich>
      </c:tx>
      <c:layout>
        <c:manualLayout>
          <c:xMode val="edge"/>
          <c:yMode val="edge"/>
          <c:x val="0.12211358173380329"/>
          <c:y val="4.0000014235514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8685319026293618E-2"/>
          <c:y val="0.13367158790068084"/>
          <c:w val="0.9140837395695649"/>
          <c:h val="0.73697913665063353"/>
        </c:manualLayout>
      </c:layout>
      <c:pie3DChart>
        <c:varyColors val="1"/>
        <c:ser>
          <c:idx val="0"/>
          <c:order val="0"/>
          <c:tx>
            <c:strRef>
              <c:f>Loading!$N$3</c:f>
              <c:strCache>
                <c:ptCount val="1"/>
                <c:pt idx="0">
                  <c:v>Annual ac-ft/yr</c:v>
                </c:pt>
              </c:strCache>
            </c:strRef>
          </c:tx>
          <c:explosion val="9"/>
          <c:dPt>
            <c:idx val="0"/>
            <c:bubble3D val="0"/>
            <c:explosion val="1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0-3103-40E5-8566-1127F94942F0}"/>
              </c:ext>
            </c:extLst>
          </c:dPt>
          <c:dPt>
            <c:idx val="1"/>
            <c:bubble3D val="0"/>
            <c:explosion val="2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3103-40E5-8566-1127F94942F0}"/>
              </c:ext>
            </c:extLst>
          </c:dPt>
          <c:dLbls>
            <c:dLbl>
              <c:idx val="0"/>
              <c:layout>
                <c:manualLayout>
                  <c:x val="8.995466475781437E-2"/>
                  <c:y val="0.1597639692628782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03-40E5-8566-1127F94942F0}"/>
                </c:ext>
              </c:extLst>
            </c:dLbl>
            <c:dLbl>
              <c:idx val="1"/>
              <c:layout>
                <c:manualLayout>
                  <c:x val="0.22201528191639888"/>
                  <c:y val="-0.3242364102077601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03-40E5-8566-1127F94942F0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[1]Loading!$A$4:$A$5</c:f>
              <c:strCache>
                <c:ptCount val="2"/>
                <c:pt idx="0">
                  <c:v>Turkey Creek Inflow</c:v>
                </c:pt>
                <c:pt idx="1">
                  <c:v>Bear Creek Inflow</c:v>
                </c:pt>
              </c:strCache>
            </c:strRef>
          </c:cat>
          <c:val>
            <c:numRef>
              <c:f>Loading!$N$4:$N$5</c:f>
              <c:numCache>
                <c:formatCode>#,##0</c:formatCode>
                <c:ptCount val="2"/>
                <c:pt idx="0">
                  <c:v>2110.6853699999997</c:v>
                </c:pt>
                <c:pt idx="1">
                  <c:v>16339.721699999998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03-40E5-8566-1127F94942F0}"/>
            </c:ext>
          </c:extLst>
        </c:ser>
        <c:dLbls>
          <c:showLegendKey val="0"/>
          <c:showVal val="1"/>
          <c:showCatName val="1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Total Nitrogen Pounds</a:t>
            </a:r>
          </a:p>
        </c:rich>
      </c:tx>
      <c:layout>
        <c:manualLayout>
          <c:xMode val="edge"/>
          <c:yMode val="edge"/>
          <c:x val="0.22381827357727768"/>
          <c:y val="2.88872736474800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3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5533206453458811E-2"/>
          <c:y val="0.1223883039147419"/>
          <c:w val="0.9489595800524937"/>
          <c:h val="0.79437593295218822"/>
        </c:manualLayout>
      </c:layout>
      <c:pie3DChart>
        <c:varyColors val="1"/>
        <c:ser>
          <c:idx val="1"/>
          <c:order val="0"/>
          <c:tx>
            <c:strRef>
              <c:f>Loading!$A$17</c:f>
              <c:strCache>
                <c:ptCount val="1"/>
                <c:pt idx="0">
                  <c:v>Total Nitrogen Pounds</c:v>
                </c:pt>
              </c:strCache>
            </c:strRef>
          </c:tx>
          <c:explosion val="17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7DDD-453A-B918-FB381F19D35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0-7DDD-453A-B918-FB381F19D357}"/>
              </c:ext>
            </c:extLst>
          </c:dPt>
          <c:dLbls>
            <c:dLbl>
              <c:idx val="0"/>
              <c:layout>
                <c:manualLayout>
                  <c:x val="1.59564134428052E-3"/>
                  <c:y val="-6.337309344164011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DD-453A-B918-FB381F19D357}"/>
                </c:ext>
              </c:extLst>
            </c:dLbl>
            <c:dLbl>
              <c:idx val="1"/>
              <c:layout>
                <c:manualLayout>
                  <c:x val="0.23391285944529161"/>
                  <c:y val="-0.22545848725650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DD-453A-B918-FB381F19D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Loading!$A$18:$A$19</c:f>
              <c:strCache>
                <c:ptCount val="2"/>
                <c:pt idx="0">
                  <c:v>Site 16a-Turkey Creek Inflow</c:v>
                </c:pt>
                <c:pt idx="1">
                  <c:v>Site 15a-Bear Creek Inflow</c:v>
                </c:pt>
              </c:strCache>
            </c:strRef>
          </c:cat>
          <c:val>
            <c:numRef>
              <c:f>Loading!$N$18:$N$19</c:f>
              <c:numCache>
                <c:formatCode>#,##0</c:formatCode>
                <c:ptCount val="2"/>
                <c:pt idx="0">
                  <c:v>3547.9358733741306</c:v>
                </c:pt>
                <c:pt idx="1">
                  <c:v>28687.816422134107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DD-453A-B918-FB381F19D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100"/>
              <a:t>Bear Creek Reservoir Chlorophyll [ug/l] Trend</a:t>
            </a:r>
          </a:p>
        </c:rich>
      </c:tx>
      <c:layout>
        <c:manualLayout>
          <c:xMode val="edge"/>
          <c:yMode val="edge"/>
          <c:x val="0.24096385542168691"/>
          <c:y val="4.0650406504065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385731178093584E-2"/>
          <c:y val="0.1361262988193892"/>
          <c:w val="0.89357604946357594"/>
          <c:h val="0.680599644145605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'Annual Reservoir Trends'!$B$4</c:f>
              <c:strCache>
                <c:ptCount val="1"/>
                <c:pt idx="0">
                  <c:v>Top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trendline>
            <c:spPr>
              <a:ln w="19050" cap="rnd">
                <a:solidFill>
                  <a:schemeClr val="accent1"/>
                </a:solidFill>
              </a:ln>
              <a:effectLst/>
            </c:spPr>
            <c:trendlineType val="linear"/>
            <c:dispRSqr val="0"/>
            <c:dispEq val="0"/>
          </c:trendline>
          <c:cat>
            <c:numRef>
              <c:f>'Annual Reservoir Trends'!$C$3:$AE$3</c:f>
              <c:numCache>
                <c:formatCode>0</c:formatCode>
                <c:ptCount val="29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</c:numCache>
            </c:numRef>
          </c:cat>
          <c:val>
            <c:numRef>
              <c:f>'Annual Reservoir Trends'!$C$4:$AE$4</c:f>
              <c:numCache>
                <c:formatCode>0.0</c:formatCode>
                <c:ptCount val="29"/>
                <c:pt idx="0">
                  <c:v>17.670000000000002</c:v>
                </c:pt>
                <c:pt idx="1">
                  <c:v>26.03</c:v>
                </c:pt>
                <c:pt idx="2">
                  <c:v>13.73</c:v>
                </c:pt>
                <c:pt idx="3">
                  <c:v>29.68</c:v>
                </c:pt>
                <c:pt idx="4">
                  <c:v>9.4</c:v>
                </c:pt>
                <c:pt idx="5">
                  <c:v>17.100000000000001</c:v>
                </c:pt>
                <c:pt idx="6">
                  <c:v>8.23</c:v>
                </c:pt>
                <c:pt idx="7">
                  <c:v>4.9000000000000004</c:v>
                </c:pt>
                <c:pt idx="8">
                  <c:v>6.2</c:v>
                </c:pt>
                <c:pt idx="9" formatCode="#,##0">
                  <c:v>23.9</c:v>
                </c:pt>
                <c:pt idx="10" formatCode="#,##0">
                  <c:v>24.6</c:v>
                </c:pt>
                <c:pt idx="11" formatCode="#,##0">
                  <c:v>15.4</c:v>
                </c:pt>
                <c:pt idx="12" formatCode="#,##0">
                  <c:v>14.8</c:v>
                </c:pt>
                <c:pt idx="13" formatCode="#,##0">
                  <c:v>6.6</c:v>
                </c:pt>
                <c:pt idx="14" formatCode="#,##0">
                  <c:v>15.4</c:v>
                </c:pt>
                <c:pt idx="15" formatCode="#,##0">
                  <c:v>9.1</c:v>
                </c:pt>
                <c:pt idx="16" formatCode="#,##0">
                  <c:v>9.3000000000000007</c:v>
                </c:pt>
                <c:pt idx="17" formatCode="#,##0">
                  <c:v>17.3</c:v>
                </c:pt>
                <c:pt idx="18" formatCode="#,##0">
                  <c:v>12.5</c:v>
                </c:pt>
                <c:pt idx="19" formatCode="#,##0">
                  <c:v>10.6</c:v>
                </c:pt>
                <c:pt idx="20" formatCode="#,##0">
                  <c:v>10.8</c:v>
                </c:pt>
                <c:pt idx="21" formatCode="#,##0">
                  <c:v>14.9</c:v>
                </c:pt>
                <c:pt idx="22" formatCode="#,##0">
                  <c:v>14.6</c:v>
                </c:pt>
                <c:pt idx="23" formatCode="#,##0">
                  <c:v>5</c:v>
                </c:pt>
                <c:pt idx="24" formatCode="#,##0">
                  <c:v>13.2</c:v>
                </c:pt>
                <c:pt idx="25" formatCode="#,##0">
                  <c:v>10.1</c:v>
                </c:pt>
                <c:pt idx="26" formatCode="#,##0">
                  <c:v>12.8</c:v>
                </c:pt>
                <c:pt idx="27" formatCode="#,##0">
                  <c:v>16.399999999999999</c:v>
                </c:pt>
                <c:pt idx="28" formatCode="#,##0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3-4F57-BD7E-42B3D9CF2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4777600"/>
        <c:axId val="104779136"/>
      </c:barChart>
      <c:catAx>
        <c:axId val="1047776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77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77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777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2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Loading!$Q$3</c:f>
              <c:strCache>
                <c:ptCount val="1"/>
                <c:pt idx="0">
                  <c:v>BCR Total Phosphorus Deposition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2-519C-4595-B0FA-29C3EBB02E0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2-8658-422B-9FDA-361844437010}"/>
              </c:ext>
            </c:extLst>
          </c:dPt>
          <c:cat>
            <c:strRef>
              <c:f>Loading!$R$2:$AD$2</c:f>
              <c:strCach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Median</c:v>
                </c:pt>
              </c:strCache>
            </c:strRef>
          </c:cat>
          <c:val>
            <c:numRef>
              <c:f>Loading!$R$3:$AD$3</c:f>
              <c:numCache>
                <c:formatCode>#,##0</c:formatCode>
                <c:ptCount val="13"/>
                <c:pt idx="0">
                  <c:v>667</c:v>
                </c:pt>
                <c:pt idx="1">
                  <c:v>1014</c:v>
                </c:pt>
                <c:pt idx="2">
                  <c:v>1395</c:v>
                </c:pt>
                <c:pt idx="3">
                  <c:v>223</c:v>
                </c:pt>
                <c:pt idx="4">
                  <c:v>374</c:v>
                </c:pt>
                <c:pt idx="5">
                  <c:v>6759</c:v>
                </c:pt>
                <c:pt idx="6">
                  <c:v>2030.6921468590576</c:v>
                </c:pt>
                <c:pt idx="7">
                  <c:v>18866.581804432863</c:v>
                </c:pt>
                <c:pt idx="8">
                  <c:v>1288</c:v>
                </c:pt>
                <c:pt idx="9">
                  <c:v>2983</c:v>
                </c:pt>
                <c:pt idx="10">
                  <c:v>332</c:v>
                </c:pt>
                <c:pt idx="11">
                  <c:v>789</c:v>
                </c:pt>
                <c:pt idx="12">
                  <c:v>1341.5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C-4595-B0FA-29C3EBB02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09119112"/>
        <c:axId val="609118456"/>
      </c:barChart>
      <c:catAx>
        <c:axId val="609119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118456"/>
        <c:crosses val="autoZero"/>
        <c:auto val="1"/>
        <c:lblAlgn val="ctr"/>
        <c:lblOffset val="100"/>
        <c:noMultiLvlLbl val="0"/>
      </c:catAx>
      <c:valAx>
        <c:axId val="609118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119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Loading!$AJ$3</c:f>
              <c:strCache>
                <c:ptCount val="1"/>
                <c:pt idx="0">
                  <c:v>% Nonpoint Source Load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8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2-EBCA-42CE-8CC6-F6A5B8694831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2-6087-470B-842E-47D160818E49}"/>
              </c:ext>
            </c:extLst>
          </c:dPt>
          <c:cat>
            <c:strRef>
              <c:f>Loading!$AE$4:$AE$24</c:f>
              <c:strCach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Median</c:v>
                </c:pt>
              </c:strCache>
            </c:strRef>
          </c:cat>
          <c:val>
            <c:numRef>
              <c:f>Loading!$AJ$4:$AJ$23</c:f>
              <c:numCache>
                <c:formatCode>0%</c:formatCode>
                <c:ptCount val="20"/>
                <c:pt idx="0">
                  <c:v>0.25226151315789475</c:v>
                </c:pt>
                <c:pt idx="1">
                  <c:v>0.57230869001297013</c:v>
                </c:pt>
                <c:pt idx="2">
                  <c:v>0.02</c:v>
                </c:pt>
                <c:pt idx="3">
                  <c:v>0.33336395969176036</c:v>
                </c:pt>
                <c:pt idx="4">
                  <c:v>0.81491587575496116</c:v>
                </c:pt>
                <c:pt idx="5">
                  <c:v>0.8216788908765652</c:v>
                </c:pt>
                <c:pt idx="6">
                  <c:v>0.61987696850393703</c:v>
                </c:pt>
                <c:pt idx="7">
                  <c:v>0.92638744690891928</c:v>
                </c:pt>
                <c:pt idx="8">
                  <c:v>0.81251507840772019</c:v>
                </c:pt>
                <c:pt idx="9">
                  <c:v>0.86823157894736847</c:v>
                </c:pt>
                <c:pt idx="10">
                  <c:v>0.92327517788724689</c:v>
                </c:pt>
                <c:pt idx="11">
                  <c:v>0.73160861865407323</c:v>
                </c:pt>
                <c:pt idx="12">
                  <c:v>0.61675078864353317</c:v>
                </c:pt>
                <c:pt idx="13">
                  <c:v>0.98222525927777082</c:v>
                </c:pt>
                <c:pt idx="14">
                  <c:v>0.93293079800498746</c:v>
                </c:pt>
                <c:pt idx="15">
                  <c:v>0.98941975604742005</c:v>
                </c:pt>
                <c:pt idx="16">
                  <c:v>0.95474633197808023</c:v>
                </c:pt>
                <c:pt idx="17">
                  <c:v>0.95811236327477622</c:v>
                </c:pt>
                <c:pt idx="18">
                  <c:v>0.66599190283400811</c:v>
                </c:pt>
                <c:pt idx="19">
                  <c:v>0.86107212475633532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CA-42CE-8CC6-F6A5B8694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09126984"/>
        <c:axId val="609132888"/>
      </c:barChart>
      <c:catAx>
        <c:axId val="609126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132888"/>
        <c:crosses val="autoZero"/>
        <c:auto val="1"/>
        <c:lblAlgn val="ctr"/>
        <c:lblOffset val="100"/>
        <c:noMultiLvlLbl val="0"/>
      </c:catAx>
      <c:valAx>
        <c:axId val="6091328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126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Phosphorus Pounds</a:t>
            </a:r>
            <a:r>
              <a:rPr lang="en-US" baseline="0"/>
              <a:t> </a:t>
            </a:r>
            <a:r>
              <a:rPr lang="en-US"/>
              <a:t>Discharged WWTFs Annually Reaching Bear Creek Reservoir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Loading!$AF$3</c:f>
              <c:strCache>
                <c:ptCount val="1"/>
                <c:pt idx="0">
                  <c:v>Total Discharge WWTFs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8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2-8B05-4F3D-AA10-DE6AE0288930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2-40C4-4253-8BA5-A7A455D4F91C}"/>
              </c:ext>
            </c:extLst>
          </c:dPt>
          <c:cat>
            <c:numRef>
              <c:f>Loading!$AE$4:$AE$23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Loading!$AG$4:$AG$23</c:f>
              <c:numCache>
                <c:formatCode>#,##0</c:formatCode>
                <c:ptCount val="20"/>
                <c:pt idx="0">
                  <c:v>909.25</c:v>
                </c:pt>
                <c:pt idx="1">
                  <c:v>659.5</c:v>
                </c:pt>
                <c:pt idx="2">
                  <c:v>680.375</c:v>
                </c:pt>
                <c:pt idx="3">
                  <c:v>1124.6150000000002</c:v>
                </c:pt>
                <c:pt idx="4">
                  <c:v>429.02499999999998</c:v>
                </c:pt>
                <c:pt idx="5">
                  <c:v>498.40750000000003</c:v>
                </c:pt>
                <c:pt idx="6">
                  <c:v>386.20499999999998</c:v>
                </c:pt>
                <c:pt idx="7">
                  <c:v>467.95499999999998</c:v>
                </c:pt>
                <c:pt idx="8">
                  <c:v>310.85000000000002</c:v>
                </c:pt>
                <c:pt idx="9">
                  <c:v>312.95000000000005</c:v>
                </c:pt>
                <c:pt idx="10">
                  <c:v>280.35250000000002</c:v>
                </c:pt>
                <c:pt idx="11">
                  <c:v>227.32750000000001</c:v>
                </c:pt>
                <c:pt idx="12">
                  <c:v>242.97999999999996</c:v>
                </c:pt>
                <c:pt idx="13">
                  <c:v>284.5025</c:v>
                </c:pt>
                <c:pt idx="14">
                  <c:v>268.94749999999999</c:v>
                </c:pt>
                <c:pt idx="15">
                  <c:v>308.79499999999996</c:v>
                </c:pt>
                <c:pt idx="16">
                  <c:v>256</c:v>
                </c:pt>
                <c:pt idx="17">
                  <c:v>252.75</c:v>
                </c:pt>
                <c:pt idx="18">
                  <c:v>247.5</c:v>
                </c:pt>
                <c:pt idx="19">
                  <c:v>285.08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5-4F3D-AA10-DE6AE0288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09140432"/>
        <c:axId val="609141088"/>
      </c:barChart>
      <c:catAx>
        <c:axId val="60914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141088"/>
        <c:crosses val="autoZero"/>
        <c:auto val="1"/>
        <c:lblAlgn val="ctr"/>
        <c:lblOffset val="100"/>
        <c:noMultiLvlLbl val="0"/>
      </c:catAx>
      <c:valAx>
        <c:axId val="609141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TP Pounds/Year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14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Carlson Seasonal Trophic Status Index [TSI]</a:t>
            </a:r>
          </a:p>
        </c:rich>
      </c:tx>
      <c:layout>
        <c:manualLayout>
          <c:xMode val="edge"/>
          <c:yMode val="edge"/>
          <c:x val="0.23773006134969324"/>
          <c:y val="3.45911949685534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582692897654113E-2"/>
          <c:y val="0.12584117534088718"/>
          <c:w val="0.92357584931513192"/>
          <c:h val="0.77692305230142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Carlson!$A$18</c:f>
              <c:strCache>
                <c:ptCount val="1"/>
                <c:pt idx="0">
                  <c:v>Carlson's Annual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Carlson!$B$27:$AE$27</c:f>
              <c:numCache>
                <c:formatCode>General</c:formatCode>
                <c:ptCount val="30"/>
                <c:pt idx="0">
                  <c:v>1988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Carlson!$B$28:$AE$28</c:f>
              <c:numCache>
                <c:formatCode>0.00</c:formatCode>
                <c:ptCount val="30"/>
                <c:pt idx="0">
                  <c:v>60.39915070688658</c:v>
                </c:pt>
                <c:pt idx="1">
                  <c:v>62.922363589547444</c:v>
                </c:pt>
                <c:pt idx="2">
                  <c:v>62.111684953260315</c:v>
                </c:pt>
                <c:pt idx="3">
                  <c:v>58.344593382015127</c:v>
                </c:pt>
                <c:pt idx="4">
                  <c:v>60.120150932072441</c:v>
                </c:pt>
                <c:pt idx="5">
                  <c:v>51.089468090678203</c:v>
                </c:pt>
                <c:pt idx="6">
                  <c:v>52.699762908336595</c:v>
                </c:pt>
                <c:pt idx="7">
                  <c:v>53.361633839203677</c:v>
                </c:pt>
                <c:pt idx="8">
                  <c:v>50.833901052705436</c:v>
                </c:pt>
                <c:pt idx="9">
                  <c:v>52.427928247314178</c:v>
                </c:pt>
                <c:pt idx="10">
                  <c:v>55.711306281437082</c:v>
                </c:pt>
                <c:pt idx="11">
                  <c:v>56.840099404483801</c:v>
                </c:pt>
                <c:pt idx="12">
                  <c:v>54.070692957559743</c:v>
                </c:pt>
                <c:pt idx="13">
                  <c:v>56.601461813604963</c:v>
                </c:pt>
                <c:pt idx="14">
                  <c:v>49.808003998448534</c:v>
                </c:pt>
                <c:pt idx="15">
                  <c:v>54.616214061986739</c:v>
                </c:pt>
                <c:pt idx="16">
                  <c:v>49.875067908335467</c:v>
                </c:pt>
                <c:pt idx="17">
                  <c:v>52.785985215663082</c:v>
                </c:pt>
                <c:pt idx="18">
                  <c:v>55.561102668211014</c:v>
                </c:pt>
                <c:pt idx="19">
                  <c:v>52.133374222986525</c:v>
                </c:pt>
                <c:pt idx="20">
                  <c:v>53.647696846285726</c:v>
                </c:pt>
                <c:pt idx="21">
                  <c:v>53.403624208967244</c:v>
                </c:pt>
                <c:pt idx="22">
                  <c:v>56.414425174483391</c:v>
                </c:pt>
                <c:pt idx="23">
                  <c:v>57.478491848055995</c:v>
                </c:pt>
                <c:pt idx="24">
                  <c:v>50.183465718386536</c:v>
                </c:pt>
                <c:pt idx="25">
                  <c:v>58.571915412400962</c:v>
                </c:pt>
                <c:pt idx="26">
                  <c:v>58.191864123803477</c:v>
                </c:pt>
                <c:pt idx="27">
                  <c:v>54.496103914946083</c:v>
                </c:pt>
                <c:pt idx="28">
                  <c:v>56.757414989311279</c:v>
                </c:pt>
                <c:pt idx="29">
                  <c:v>58.715539125408689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7-4540-B79F-EC03670A8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8173184"/>
        <c:axId val="108174720"/>
      </c:barChart>
      <c:catAx>
        <c:axId val="10817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7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174720"/>
        <c:scaling>
          <c:orientation val="minMax"/>
          <c:max val="65"/>
          <c:min val="45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73184"/>
        <c:crosses val="autoZero"/>
        <c:crossBetween val="between"/>
        <c:min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2"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Carlson's Annual Trophic Status Index [TSI]  
</a:t>
            </a:r>
          </a:p>
        </c:rich>
      </c:tx>
      <c:layout>
        <c:manualLayout>
          <c:xMode val="edge"/>
          <c:yMode val="edge"/>
          <c:x val="0.2458521870286576"/>
          <c:y val="3.5031847133758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820669405625143E-2"/>
          <c:y val="0.11604644528129972"/>
          <c:w val="0.91237266492943359"/>
          <c:h val="0.7494240877370643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Carlson!$C$38:$AE$38</c:f>
              <c:numCache>
                <c:formatCode>General</c:formatCode>
                <c:ptCount val="29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</c:numCache>
            </c:numRef>
          </c:cat>
          <c:val>
            <c:numRef>
              <c:f>Carlson!$C$39:$AE$39</c:f>
              <c:numCache>
                <c:formatCode>#,##0</c:formatCode>
                <c:ptCount val="29"/>
                <c:pt idx="0">
                  <c:v>57.974168699280114</c:v>
                </c:pt>
                <c:pt idx="1">
                  <c:v>61.044107370954897</c:v>
                </c:pt>
                <c:pt idx="2">
                  <c:v>62.083167664011228</c:v>
                </c:pt>
                <c:pt idx="3">
                  <c:v>61.487265569974134</c:v>
                </c:pt>
                <c:pt idx="4">
                  <c:v>57.92951834427955</c:v>
                </c:pt>
                <c:pt idx="5">
                  <c:v>53.975841238330908</c:v>
                </c:pt>
                <c:pt idx="6">
                  <c:v>53.435718133535012</c:v>
                </c:pt>
                <c:pt idx="7">
                  <c:v>49.371855280700778</c:v>
                </c:pt>
                <c:pt idx="8">
                  <c:v>50.904302358205541</c:v>
                </c:pt>
                <c:pt idx="9">
                  <c:v>54.339987917209079</c:v>
                </c:pt>
                <c:pt idx="10">
                  <c:v>57.759224255437537</c:v>
                </c:pt>
                <c:pt idx="11">
                  <c:v>55.556119488978311</c:v>
                </c:pt>
                <c:pt idx="12">
                  <c:v>58.735529951742912</c:v>
                </c:pt>
                <c:pt idx="13">
                  <c:v>53.019062124775537</c:v>
                </c:pt>
                <c:pt idx="14">
                  <c:v>56.959189884506621</c:v>
                </c:pt>
                <c:pt idx="15">
                  <c:v>51.382721957747123</c:v>
                </c:pt>
                <c:pt idx="16">
                  <c:v>49.42158492671539</c:v>
                </c:pt>
                <c:pt idx="17">
                  <c:v>60.055490460292823</c:v>
                </c:pt>
                <c:pt idx="18">
                  <c:v>57.771922969263748</c:v>
                </c:pt>
                <c:pt idx="19">
                  <c:v>55.8091919353976</c:v>
                </c:pt>
                <c:pt idx="20">
                  <c:v>54.26039610905358</c:v>
                </c:pt>
                <c:pt idx="21">
                  <c:v>62.436800570003612</c:v>
                </c:pt>
                <c:pt idx="22">
                  <c:v>64.325220193307089</c:v>
                </c:pt>
                <c:pt idx="23">
                  <c:v>55.398885311993162</c:v>
                </c:pt>
                <c:pt idx="24">
                  <c:v>62.845051870736228</c:v>
                </c:pt>
                <c:pt idx="25">
                  <c:v>64.240158161701729</c:v>
                </c:pt>
                <c:pt idx="26">
                  <c:v>58.468952361624019</c:v>
                </c:pt>
                <c:pt idx="27">
                  <c:v>59.256889443430772</c:v>
                </c:pt>
                <c:pt idx="28">
                  <c:v>60.285143491589992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A-45EA-8C9D-6AF30C7AB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8507904"/>
        <c:axId val="108509440"/>
      </c:barChart>
      <c:catAx>
        <c:axId val="10850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0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509440"/>
        <c:scaling>
          <c:orientation val="minMax"/>
          <c:min val="45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07904"/>
        <c:crosses val="autoZero"/>
        <c:crossBetween val="between"/>
        <c:min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2" verticalDpi="0"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C-TSI = SD + TP + CHL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Carlson!$AH$28</c:f>
              <c:strCache>
                <c:ptCount val="1"/>
                <c:pt idx="0">
                  <c:v>TSI (SD+TP+CHL)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Carlson!$AI$29:$AP$30</c:f>
              <c:multiLvlStrCache>
                <c:ptCount val="8"/>
                <c:lvl>
                  <c:pt idx="0">
                    <c:v>2012</c:v>
                  </c:pt>
                  <c:pt idx="1">
                    <c:v>2013</c:v>
                  </c:pt>
                  <c:pt idx="2">
                    <c:v>2014</c:v>
                  </c:pt>
                  <c:pt idx="3">
                    <c:v>2015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2018</c:v>
                  </c:pt>
                  <c:pt idx="7">
                    <c:v>2019</c:v>
                  </c:pt>
                </c:lvl>
                <c:lvl>
                  <c:pt idx="0">
                    <c:v>EU</c:v>
                  </c:pt>
                  <c:pt idx="1">
                    <c:v>ME/EU</c:v>
                  </c:pt>
                  <c:pt idx="4">
                    <c:v>EU</c:v>
                  </c:pt>
                  <c:pt idx="5">
                    <c:v>ME/EU</c:v>
                  </c:pt>
                  <c:pt idx="6">
                    <c:v>EU</c:v>
                  </c:pt>
                  <c:pt idx="7">
                    <c:v>ME/EU</c:v>
                  </c:pt>
                </c:lvl>
              </c:multiLvlStrCache>
            </c:multiLvlStrRef>
          </c:cat>
          <c:val>
            <c:numRef>
              <c:f>Carlson!$AI$28:$AP$28</c:f>
              <c:numCache>
                <c:formatCode>#,##0</c:formatCode>
                <c:ptCount val="8"/>
                <c:pt idx="0">
                  <c:v>56.219383624676581</c:v>
                </c:pt>
                <c:pt idx="1">
                  <c:v>49.979135180998533</c:v>
                </c:pt>
                <c:pt idx="2">
                  <c:v>48.778119782129842</c:v>
                </c:pt>
                <c:pt idx="3">
                  <c:v>49.107659920721915</c:v>
                </c:pt>
                <c:pt idx="4">
                  <c:v>53.586110972974986</c:v>
                </c:pt>
                <c:pt idx="5">
                  <c:v>47.454012340688756</c:v>
                </c:pt>
                <c:pt idx="6">
                  <c:v>52.184963485513343</c:v>
                </c:pt>
                <c:pt idx="7">
                  <c:v>49.212388077442426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9-4CFB-9827-A34C19040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59036552"/>
        <c:axId val="559028352"/>
      </c:barChart>
      <c:lineChart>
        <c:grouping val="standard"/>
        <c:varyColors val="0"/>
        <c:ser>
          <c:idx val="1"/>
          <c:order val="1"/>
          <c:tx>
            <c:strRef>
              <c:f>Carlson!$AH$31</c:f>
              <c:strCache>
                <c:ptCount val="1"/>
                <c:pt idx="0">
                  <c:v>Eutrophic Zone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Carlson!$AI$31:$AP$31</c:f>
              <c:numCache>
                <c:formatCode>#,##0</c:formatCode>
                <c:ptCount val="8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9-4CFB-9827-A34C19040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036552"/>
        <c:axId val="559028352"/>
      </c:lineChart>
      <c:catAx>
        <c:axId val="559036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028352"/>
        <c:crosses val="autoZero"/>
        <c:auto val="1"/>
        <c:lblAlgn val="ctr"/>
        <c:lblOffset val="100"/>
        <c:noMultiLvlLbl val="0"/>
      </c:catAx>
      <c:valAx>
        <c:axId val="559028352"/>
        <c:scaling>
          <c:orientation val="minMax"/>
          <c:min val="45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036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Walker's Growing Season TSI Trophic Status
</a:t>
            </a:r>
          </a:p>
        </c:rich>
      </c:tx>
      <c:layout>
        <c:manualLayout>
          <c:xMode val="edge"/>
          <c:yMode val="edge"/>
          <c:x val="0.31267217630858746"/>
          <c:y val="3.54609929078014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0164578849314181E-2"/>
          <c:y val="0.11725564209322047"/>
          <c:w val="0.9589508276935701"/>
          <c:h val="0.70946772795222079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Walker!$G$55</c:f>
              <c:strCache>
                <c:ptCount val="1"/>
                <c:pt idx="0">
                  <c:v>TSI Index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Walker!$AI$16:$BK$16</c:f>
              <c:numCache>
                <c:formatCode>General</c:formatCode>
                <c:ptCount val="29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</c:numCache>
            </c:numRef>
          </c:cat>
          <c:val>
            <c:numRef>
              <c:f>Walker!$AI$29:$BK$29</c:f>
              <c:numCache>
                <c:formatCode>0.0</c:formatCode>
                <c:ptCount val="29"/>
                <c:pt idx="0">
                  <c:v>66.803097348550125</c:v>
                </c:pt>
                <c:pt idx="1">
                  <c:v>72.362264735033875</c:v>
                </c:pt>
                <c:pt idx="2">
                  <c:v>72.085447364115552</c:v>
                </c:pt>
                <c:pt idx="3">
                  <c:v>77.314067535506467</c:v>
                </c:pt>
                <c:pt idx="4">
                  <c:v>71.020135901887741</c:v>
                </c:pt>
                <c:pt idx="5">
                  <c:v>64.287244997284233</c:v>
                </c:pt>
                <c:pt idx="6">
                  <c:v>60.010875724781918</c:v>
                </c:pt>
                <c:pt idx="7">
                  <c:v>56.368080563047762</c:v>
                </c:pt>
                <c:pt idx="8">
                  <c:v>56.402981732137675</c:v>
                </c:pt>
                <c:pt idx="9">
                  <c:v>62.789318931423743</c:v>
                </c:pt>
                <c:pt idx="10">
                  <c:v>67.55576609832103</c:v>
                </c:pt>
                <c:pt idx="11">
                  <c:v>64.309138487115874</c:v>
                </c:pt>
                <c:pt idx="12">
                  <c:v>68.000416208765756</c:v>
                </c:pt>
                <c:pt idx="13">
                  <c:v>62.478561958322238</c:v>
                </c:pt>
                <c:pt idx="14">
                  <c:v>64.60209901588199</c:v>
                </c:pt>
                <c:pt idx="15">
                  <c:v>61.602757818168946</c:v>
                </c:pt>
                <c:pt idx="16">
                  <c:v>54.594211307880414</c:v>
                </c:pt>
                <c:pt idx="17">
                  <c:v>66.795383368394411</c:v>
                </c:pt>
                <c:pt idx="18">
                  <c:v>68.278047769522729</c:v>
                </c:pt>
                <c:pt idx="19">
                  <c:v>64.610931329375902</c:v>
                </c:pt>
                <c:pt idx="20">
                  <c:v>59.424750272089362</c:v>
                </c:pt>
                <c:pt idx="21">
                  <c:v>68.963721529925408</c:v>
                </c:pt>
                <c:pt idx="22">
                  <c:v>73.542261797536881</c:v>
                </c:pt>
                <c:pt idx="23">
                  <c:v>67.290938504275118</c:v>
                </c:pt>
                <c:pt idx="24">
                  <c:v>68.380808314577877</c:v>
                </c:pt>
                <c:pt idx="25">
                  <c:v>73.812880356663086</c:v>
                </c:pt>
                <c:pt idx="26">
                  <c:v>69.091580074969215</c:v>
                </c:pt>
                <c:pt idx="27">
                  <c:v>68.172998017354345</c:v>
                </c:pt>
                <c:pt idx="28">
                  <c:v>66.979082657813152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4-48A0-B6AC-566EA1B45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628224"/>
        <c:axId val="108646400"/>
      </c:barChart>
      <c:lineChart>
        <c:grouping val="standard"/>
        <c:varyColors val="0"/>
        <c:ser>
          <c:idx val="0"/>
          <c:order val="0"/>
          <c:tx>
            <c:strRef>
              <c:f>Walker!$G$52</c:f>
              <c:strCache>
                <c:ptCount val="1"/>
                <c:pt idx="0">
                  <c:v>Chlorophyll-a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Walker!$AI$16:$BK$16</c:f>
              <c:numCache>
                <c:formatCode>General</c:formatCode>
                <c:ptCount val="29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</c:numCache>
            </c:numRef>
          </c:cat>
          <c:val>
            <c:numRef>
              <c:f>Walker!$AI$18:$BK$18</c:f>
              <c:numCache>
                <c:formatCode>0.00</c:formatCode>
                <c:ptCount val="29"/>
                <c:pt idx="0">
                  <c:v>39.954269549603552</c:v>
                </c:pt>
                <c:pt idx="1">
                  <c:v>55.565533829982016</c:v>
                </c:pt>
                <c:pt idx="2">
                  <c:v>58.461430738911787</c:v>
                </c:pt>
                <c:pt idx="3">
                  <c:v>67.201909026395739</c:v>
                </c:pt>
                <c:pt idx="4">
                  <c:v>54.525117899516516</c:v>
                </c:pt>
                <c:pt idx="5">
                  <c:v>65.712923624392289</c:v>
                </c:pt>
                <c:pt idx="6">
                  <c:v>45.83717154626855</c:v>
                </c:pt>
                <c:pt idx="7">
                  <c:v>34.269184011910241</c:v>
                </c:pt>
                <c:pt idx="8">
                  <c:v>36.314818447701668</c:v>
                </c:pt>
                <c:pt idx="9">
                  <c:v>58.660330444060072</c:v>
                </c:pt>
                <c:pt idx="10">
                  <c:v>65.523946072984643</c:v>
                </c:pt>
                <c:pt idx="11">
                  <c:v>63.413153176808436</c:v>
                </c:pt>
                <c:pt idx="12">
                  <c:v>62.074253956655305</c:v>
                </c:pt>
                <c:pt idx="13">
                  <c:v>50.859754077616223</c:v>
                </c:pt>
                <c:pt idx="14">
                  <c:v>59.522913145001397</c:v>
                </c:pt>
                <c:pt idx="15">
                  <c:v>57.206726682721325</c:v>
                </c:pt>
                <c:pt idx="16">
                  <c:v>46.991387390920949</c:v>
                </c:pt>
                <c:pt idx="17">
                  <c:v>66.870400173595584</c:v>
                </c:pt>
                <c:pt idx="18">
                  <c:v>65.400697459443251</c:v>
                </c:pt>
                <c:pt idx="19">
                  <c:v>59.241080069629163</c:v>
                </c:pt>
                <c:pt idx="20">
                  <c:v>51.683978405188284</c:v>
                </c:pt>
                <c:pt idx="21">
                  <c:v>66.47375434130619</c:v>
                </c:pt>
                <c:pt idx="22">
                  <c:v>67.201909026395739</c:v>
                </c:pt>
                <c:pt idx="23">
                  <c:v>50.516404523452806</c:v>
                </c:pt>
                <c:pt idx="24">
                  <c:v>63.833182872358428</c:v>
                </c:pt>
                <c:pt idx="25">
                  <c:v>58.660330444060072</c:v>
                </c:pt>
                <c:pt idx="26">
                  <c:v>64.896890758813598</c:v>
                </c:pt>
                <c:pt idx="27">
                  <c:v>58.660330444060072</c:v>
                </c:pt>
                <c:pt idx="28">
                  <c:v>57.951837074770438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4-48A0-B6AC-566EA1B45BDE}"/>
            </c:ext>
          </c:extLst>
        </c:ser>
        <c:ser>
          <c:idx val="1"/>
          <c:order val="1"/>
          <c:tx>
            <c:strRef>
              <c:f>Walker!$G$53</c:f>
              <c:strCache>
                <c:ptCount val="1"/>
                <c:pt idx="0">
                  <c:v>Total Phosphorus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Walker!$AI$16:$BK$16</c:f>
              <c:numCache>
                <c:formatCode>General</c:formatCode>
                <c:ptCount val="29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</c:numCache>
            </c:numRef>
          </c:cat>
          <c:val>
            <c:numRef>
              <c:f>Walker!$AI$21:$BK$21</c:f>
              <c:numCache>
                <c:formatCode>0.00</c:formatCode>
                <c:ptCount val="29"/>
                <c:pt idx="0">
                  <c:v>102.341995522898</c:v>
                </c:pt>
                <c:pt idx="1">
                  <c:v>104.42041499837092</c:v>
                </c:pt>
                <c:pt idx="2">
                  <c:v>101.88578373907771</c:v>
                </c:pt>
                <c:pt idx="3">
                  <c:v>102.57103099385897</c:v>
                </c:pt>
                <c:pt idx="4">
                  <c:v>89.414382793764474</c:v>
                </c:pt>
                <c:pt idx="5">
                  <c:v>74.301718129464973</c:v>
                </c:pt>
                <c:pt idx="6">
                  <c:v>67.714732963090725</c:v>
                </c:pt>
                <c:pt idx="7">
                  <c:v>72.665795090968373</c:v>
                </c:pt>
                <c:pt idx="8">
                  <c:v>72.018191456980688</c:v>
                </c:pt>
                <c:pt idx="9">
                  <c:v>74.6365653486897</c:v>
                </c:pt>
                <c:pt idx="10">
                  <c:v>81.968778135686449</c:v>
                </c:pt>
                <c:pt idx="11">
                  <c:v>78.23845998029276</c:v>
                </c:pt>
                <c:pt idx="12">
                  <c:v>78.398620834487616</c:v>
                </c:pt>
                <c:pt idx="13">
                  <c:v>78.117492844884381</c:v>
                </c:pt>
                <c:pt idx="14">
                  <c:v>69.321372316011789</c:v>
                </c:pt>
                <c:pt idx="15">
                  <c:v>73.446908470864258</c:v>
                </c:pt>
                <c:pt idx="16">
                  <c:v>63.624637683565872</c:v>
                </c:pt>
                <c:pt idx="17">
                  <c:v>68.553738344954894</c:v>
                </c:pt>
                <c:pt idx="18">
                  <c:v>78.557510557394266</c:v>
                </c:pt>
                <c:pt idx="19">
                  <c:v>71.063340083344173</c:v>
                </c:pt>
                <c:pt idx="20">
                  <c:v>70.360811860722549</c:v>
                </c:pt>
                <c:pt idx="21">
                  <c:v>74.247815269830525</c:v>
                </c:pt>
                <c:pt idx="22">
                  <c:v>82.495650648200282</c:v>
                </c:pt>
                <c:pt idx="23">
                  <c:v>83.755185432919873</c:v>
                </c:pt>
                <c:pt idx="24">
                  <c:v>68.422888205939586</c:v>
                </c:pt>
                <c:pt idx="25">
                  <c:v>80.407988075462811</c:v>
                </c:pt>
                <c:pt idx="26">
                  <c:v>82.97730980633429</c:v>
                </c:pt>
                <c:pt idx="27">
                  <c:v>76.209383045201804</c:v>
                </c:pt>
                <c:pt idx="28">
                  <c:v>76.030631857700882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F4-48A0-B6AC-566EA1B45BDE}"/>
            </c:ext>
          </c:extLst>
        </c:ser>
        <c:ser>
          <c:idx val="2"/>
          <c:order val="2"/>
          <c:tx>
            <c:strRef>
              <c:f>Walker!$G$54</c:f>
              <c:strCache>
                <c:ptCount val="1"/>
                <c:pt idx="0">
                  <c:v>Sechhi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Walker!$AI$16:$BK$16</c:f>
              <c:numCache>
                <c:formatCode>General</c:formatCode>
                <c:ptCount val="29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</c:numCache>
            </c:numRef>
          </c:cat>
          <c:val>
            <c:numRef>
              <c:f>Walker!$AI$24:$BK$24</c:f>
              <c:numCache>
                <c:formatCode>0.00</c:formatCode>
                <c:ptCount val="29"/>
                <c:pt idx="0">
                  <c:v>58.11302697314882</c:v>
                </c:pt>
                <c:pt idx="1">
                  <c:v>57.100845376748715</c:v>
                </c:pt>
                <c:pt idx="2">
                  <c:v>55.909127614357182</c:v>
                </c:pt>
                <c:pt idx="3">
                  <c:v>62.169262586264708</c:v>
                </c:pt>
                <c:pt idx="4">
                  <c:v>69.120907012382247</c:v>
                </c:pt>
                <c:pt idx="5">
                  <c:v>52.847093237995452</c:v>
                </c:pt>
                <c:pt idx="6">
                  <c:v>66.480722664986445</c:v>
                </c:pt>
                <c:pt idx="7">
                  <c:v>62.169262586264708</c:v>
                </c:pt>
                <c:pt idx="8">
                  <c:v>60.875935291730684</c:v>
                </c:pt>
                <c:pt idx="9">
                  <c:v>55.071061001521471</c:v>
                </c:pt>
                <c:pt idx="10">
                  <c:v>55.174574086292012</c:v>
                </c:pt>
                <c:pt idx="11">
                  <c:v>51.27580230424644</c:v>
                </c:pt>
                <c:pt idx="12">
                  <c:v>63.528373835154348</c:v>
                </c:pt>
                <c:pt idx="13">
                  <c:v>58.458438952466096</c:v>
                </c:pt>
                <c:pt idx="14">
                  <c:v>64.962011586632769</c:v>
                </c:pt>
                <c:pt idx="15">
                  <c:v>54.154638300921235</c:v>
                </c:pt>
                <c:pt idx="16">
                  <c:v>53.166608849154422</c:v>
                </c:pt>
                <c:pt idx="17">
                  <c:v>64.962011586632769</c:v>
                </c:pt>
                <c:pt idx="18">
                  <c:v>60.875935291730684</c:v>
                </c:pt>
                <c:pt idx="19">
                  <c:v>63.528373835154348</c:v>
                </c:pt>
                <c:pt idx="20">
                  <c:v>56.229460550357231</c:v>
                </c:pt>
                <c:pt idx="21">
                  <c:v>66.169594978639495</c:v>
                </c:pt>
                <c:pt idx="22">
                  <c:v>70.929225718014607</c:v>
                </c:pt>
                <c:pt idx="23">
                  <c:v>67.601225556452675</c:v>
                </c:pt>
                <c:pt idx="24">
                  <c:v>72.886353865435609</c:v>
                </c:pt>
                <c:pt idx="25">
                  <c:v>82.370322550466398</c:v>
                </c:pt>
                <c:pt idx="26">
                  <c:v>59.400539659759765</c:v>
                </c:pt>
                <c:pt idx="27">
                  <c:v>69.649280562801195</c:v>
                </c:pt>
                <c:pt idx="28">
                  <c:v>66.954779040968148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F4-48A0-B6AC-566EA1B45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28224"/>
        <c:axId val="108646400"/>
      </c:lineChart>
      <c:catAx>
        <c:axId val="1086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4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646400"/>
        <c:scaling>
          <c:orientation val="minMax"/>
          <c:max val="120"/>
          <c:min val="2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28224"/>
        <c:crosses val="autoZero"/>
        <c:crossBetween val="between"/>
        <c:min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Walker Seasonal Trophic State Index</a:t>
            </a:r>
          </a:p>
        </c:rich>
      </c:tx>
      <c:layout>
        <c:manualLayout>
          <c:xMode val="edge"/>
          <c:yMode val="edge"/>
          <c:x val="0.26592353257942919"/>
          <c:y val="2.52853380158033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22586062132662"/>
          <c:y val="0.12736318407960198"/>
          <c:w val="0.89877413937869965"/>
          <c:h val="0.62487562189060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Walker!$A$52</c:f>
              <c:strCache>
                <c:ptCount val="1"/>
                <c:pt idx="0">
                  <c:v>Walker TI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multiLvlStrRef>
              <c:f>Walker!$AI$30:$BK$31</c:f>
              <c:multiLvlStrCache>
                <c:ptCount val="29"/>
                <c:lvl>
                  <c:pt idx="0">
                    <c:v>1991</c:v>
                  </c:pt>
                  <c:pt idx="1">
                    <c:v>1992</c:v>
                  </c:pt>
                  <c:pt idx="2">
                    <c:v>1993</c:v>
                  </c:pt>
                  <c:pt idx="3">
                    <c:v>1994</c:v>
                  </c:pt>
                  <c:pt idx="4">
                    <c:v>1995</c:v>
                  </c:pt>
                  <c:pt idx="5">
                    <c:v>1996</c:v>
                  </c:pt>
                  <c:pt idx="6">
                    <c:v>1997</c:v>
                  </c:pt>
                  <c:pt idx="7">
                    <c:v>1998</c:v>
                  </c:pt>
                  <c:pt idx="8">
                    <c:v>1999</c:v>
                  </c:pt>
                  <c:pt idx="9">
                    <c:v>2000</c:v>
                  </c:pt>
                  <c:pt idx="10">
                    <c:v>2001</c:v>
                  </c:pt>
                  <c:pt idx="11">
                    <c:v>2002</c:v>
                  </c:pt>
                  <c:pt idx="12">
                    <c:v>2003</c:v>
                  </c:pt>
                  <c:pt idx="13">
                    <c:v>2004</c:v>
                  </c:pt>
                  <c:pt idx="14">
                    <c:v>2005</c:v>
                  </c:pt>
                  <c:pt idx="15">
                    <c:v>2006</c:v>
                  </c:pt>
                  <c:pt idx="16">
                    <c:v>2007</c:v>
                  </c:pt>
                  <c:pt idx="17">
                    <c:v>2008</c:v>
                  </c:pt>
                  <c:pt idx="18">
                    <c:v>2009</c:v>
                  </c:pt>
                  <c:pt idx="19">
                    <c:v>2010</c:v>
                  </c:pt>
                  <c:pt idx="20">
                    <c:v>2011</c:v>
                  </c:pt>
                  <c:pt idx="21">
                    <c:v>2012</c:v>
                  </c:pt>
                  <c:pt idx="22">
                    <c:v>2013</c:v>
                  </c:pt>
                  <c:pt idx="23">
                    <c:v>2014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</c:lvl>
                <c:lvl>
                  <c:pt idx="0">
                    <c:v>Hyp</c:v>
                  </c:pt>
                  <c:pt idx="5">
                    <c:v>Eu</c:v>
                  </c:pt>
                  <c:pt idx="12">
                    <c:v>Eu-hyp</c:v>
                  </c:pt>
                  <c:pt idx="13">
                    <c:v>Eu</c:v>
                  </c:pt>
                  <c:pt idx="17">
                    <c:v>Eu-hyp</c:v>
                  </c:pt>
                  <c:pt idx="20">
                    <c:v>Eu</c:v>
                  </c:pt>
                  <c:pt idx="21">
                    <c:v>Hyp</c:v>
                  </c:pt>
                  <c:pt idx="23">
                    <c:v>Eu-hyp</c:v>
                  </c:pt>
                  <c:pt idx="25">
                    <c:v>Hyp</c:v>
                  </c:pt>
                  <c:pt idx="26">
                    <c:v>Eu-hyp</c:v>
                  </c:pt>
                </c:lvl>
              </c:multiLvlStrCache>
            </c:multiLvlStrRef>
          </c:cat>
          <c:val>
            <c:numRef>
              <c:f>Walker!$AI$29:$BK$29</c:f>
              <c:numCache>
                <c:formatCode>0.0</c:formatCode>
                <c:ptCount val="29"/>
                <c:pt idx="0">
                  <c:v>66.803097348550125</c:v>
                </c:pt>
                <c:pt idx="1">
                  <c:v>72.362264735033875</c:v>
                </c:pt>
                <c:pt idx="2">
                  <c:v>72.085447364115552</c:v>
                </c:pt>
                <c:pt idx="3">
                  <c:v>77.314067535506467</c:v>
                </c:pt>
                <c:pt idx="4">
                  <c:v>71.020135901887741</c:v>
                </c:pt>
                <c:pt idx="5">
                  <c:v>64.287244997284233</c:v>
                </c:pt>
                <c:pt idx="6">
                  <c:v>60.010875724781918</c:v>
                </c:pt>
                <c:pt idx="7">
                  <c:v>56.368080563047762</c:v>
                </c:pt>
                <c:pt idx="8">
                  <c:v>56.402981732137675</c:v>
                </c:pt>
                <c:pt idx="9">
                  <c:v>62.789318931423743</c:v>
                </c:pt>
                <c:pt idx="10">
                  <c:v>67.55576609832103</c:v>
                </c:pt>
                <c:pt idx="11">
                  <c:v>64.309138487115874</c:v>
                </c:pt>
                <c:pt idx="12">
                  <c:v>68.000416208765756</c:v>
                </c:pt>
                <c:pt idx="13">
                  <c:v>62.478561958322238</c:v>
                </c:pt>
                <c:pt idx="14">
                  <c:v>64.60209901588199</c:v>
                </c:pt>
                <c:pt idx="15">
                  <c:v>61.602757818168946</c:v>
                </c:pt>
                <c:pt idx="16">
                  <c:v>54.594211307880414</c:v>
                </c:pt>
                <c:pt idx="17">
                  <c:v>66.795383368394411</c:v>
                </c:pt>
                <c:pt idx="18">
                  <c:v>68.278047769522729</c:v>
                </c:pt>
                <c:pt idx="19">
                  <c:v>64.610931329375902</c:v>
                </c:pt>
                <c:pt idx="20">
                  <c:v>59.424750272089362</c:v>
                </c:pt>
                <c:pt idx="21">
                  <c:v>68.963721529925408</c:v>
                </c:pt>
                <c:pt idx="22">
                  <c:v>73.542261797536881</c:v>
                </c:pt>
                <c:pt idx="23">
                  <c:v>67.290938504275118</c:v>
                </c:pt>
                <c:pt idx="24">
                  <c:v>68.380808314577877</c:v>
                </c:pt>
                <c:pt idx="25">
                  <c:v>73.812880356663086</c:v>
                </c:pt>
                <c:pt idx="26">
                  <c:v>69.091580074969215</c:v>
                </c:pt>
                <c:pt idx="27">
                  <c:v>68.172998017354345</c:v>
                </c:pt>
                <c:pt idx="28">
                  <c:v>66.979082657813152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9-4534-B143-2FB8C9B254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08426368"/>
        <c:axId val="108427904"/>
      </c:barChart>
      <c:catAx>
        <c:axId val="10842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427904"/>
        <c:crosses val="autoZero"/>
        <c:auto val="1"/>
        <c:lblAlgn val="ctr"/>
        <c:lblOffset val="100"/>
        <c:tickMarkSkip val="1"/>
        <c:noMultiLvlLbl val="0"/>
      </c:catAx>
      <c:valAx>
        <c:axId val="108427904"/>
        <c:scaling>
          <c:orientation val="minMax"/>
          <c:max val="80"/>
          <c:min val="5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426368"/>
        <c:crosses val="autoZero"/>
        <c:crossBetween val="between"/>
        <c:majorUnit val="5"/>
      </c:valAx>
      <c:dTable>
        <c:showHorzBorder val="0"/>
        <c:showVertBorder val="1"/>
        <c:showOutline val="1"/>
        <c:showKeys val="0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2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Walker TSI (Chl + TP + TN + SD)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Walker!$BL$15</c:f>
              <c:strCache>
                <c:ptCount val="1"/>
                <c:pt idx="0">
                  <c:v>TSI (CHL+TP+TN+SD)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Walker!$BL$30:$BR$31</c:f>
              <c:multiLvlStrCache>
                <c:ptCount val="7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</c:v>
                  </c:pt>
                </c:lvl>
                <c:lvl>
                  <c:pt idx="0">
                    <c:v>Eu</c:v>
                  </c:pt>
                  <c:pt idx="4">
                    <c:v>Meso/Eu</c:v>
                  </c:pt>
                  <c:pt idx="5">
                    <c:v>Eu</c:v>
                  </c:pt>
                  <c:pt idx="6">
                    <c:v>Eu</c:v>
                  </c:pt>
                </c:lvl>
              </c:multiLvlStrCache>
            </c:multiLvlStrRef>
          </c:cat>
          <c:val>
            <c:numRef>
              <c:f>Walker!$BL$29:$BR$29</c:f>
              <c:numCache>
                <c:formatCode>0.0</c:formatCode>
                <c:ptCount val="7"/>
                <c:pt idx="0">
                  <c:v>52.374312819868251</c:v>
                </c:pt>
                <c:pt idx="1">
                  <c:v>51.226548803285461</c:v>
                </c:pt>
                <c:pt idx="2">
                  <c:v>50.767403665299447</c:v>
                </c:pt>
                <c:pt idx="3">
                  <c:v>56.505929155472856</c:v>
                </c:pt>
                <c:pt idx="4">
                  <c:v>49.560210340751432</c:v>
                </c:pt>
                <c:pt idx="5">
                  <c:v>53.642060625143813</c:v>
                </c:pt>
                <c:pt idx="6">
                  <c:v>51.342842258649164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4-4369-A869-F45088D07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59241640"/>
        <c:axId val="559242624"/>
      </c:barChart>
      <c:lineChart>
        <c:grouping val="standard"/>
        <c:varyColors val="0"/>
        <c:ser>
          <c:idx val="1"/>
          <c:order val="1"/>
          <c:tx>
            <c:strRef>
              <c:f>Walker!$BK$33</c:f>
              <c:strCache>
                <c:ptCount val="1"/>
                <c:pt idx="0">
                  <c:v>EU Zone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Walker!$BL$33:$BR$33</c:f>
              <c:numCache>
                <c:formatCode>#,##0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4-4369-A869-F45088D07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241640"/>
        <c:axId val="559242624"/>
      </c:lineChart>
      <c:catAx>
        <c:axId val="559241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242624"/>
        <c:crosses val="autoZero"/>
        <c:auto val="1"/>
        <c:lblAlgn val="ctr"/>
        <c:lblOffset val="100"/>
        <c:noMultiLvlLbl val="0"/>
      </c:catAx>
      <c:valAx>
        <c:axId val="559242624"/>
        <c:scaling>
          <c:orientation val="minMax"/>
          <c:min val="45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241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Bear Creek Reservoir 2019 In-Flow Estimates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'Monthly Discharge'!$A$31</c:f>
              <c:strCache>
                <c:ptCount val="1"/>
                <c:pt idx="0">
                  <c:v>Total Inflow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'Monthly Discharge'!$B$26:$M$26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Discharge'!$B$31:$M$31</c:f>
              <c:numCache>
                <c:formatCode>#,##0.0</c:formatCode>
                <c:ptCount val="12"/>
                <c:pt idx="0">
                  <c:v>805.29629999999997</c:v>
                </c:pt>
                <c:pt idx="1">
                  <c:v>655.57979999999998</c:v>
                </c:pt>
                <c:pt idx="2">
                  <c:v>706.93950000000007</c:v>
                </c:pt>
                <c:pt idx="3">
                  <c:v>1249.29</c:v>
                </c:pt>
                <c:pt idx="4">
                  <c:v>1561.4141999999999</c:v>
                </c:pt>
                <c:pt idx="5">
                  <c:v>6008.49</c:v>
                </c:pt>
                <c:pt idx="6">
                  <c:v>3329.3776800000001</c:v>
                </c:pt>
                <c:pt idx="7">
                  <c:v>1192.5762000000002</c:v>
                </c:pt>
                <c:pt idx="8">
                  <c:v>596.68470000000002</c:v>
                </c:pt>
                <c:pt idx="9">
                  <c:v>831.72969000000001</c:v>
                </c:pt>
                <c:pt idx="10">
                  <c:v>713.88000000000011</c:v>
                </c:pt>
                <c:pt idx="11">
                  <c:v>799.14899999999989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C-4A00-B41A-53A89CDC5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8448000"/>
        <c:axId val="114028544"/>
      </c:barChart>
      <c:catAx>
        <c:axId val="10844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028544"/>
        <c:crosses val="autoZero"/>
        <c:auto val="1"/>
        <c:lblAlgn val="ctr"/>
        <c:lblOffset val="100"/>
        <c:noMultiLvlLbl val="0"/>
      </c:catAx>
      <c:valAx>
        <c:axId val="114028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Acre-feet/month</a:t>
                </a:r>
              </a:p>
            </c:rich>
          </c:tx>
          <c:layout>
            <c:manualLayout>
              <c:xMode val="edge"/>
              <c:yMode val="edge"/>
              <c:x val="1.7116079815739343E-2"/>
              <c:y val="0.356150270972633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448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Bear Creek Reservoir Total Phosphorus [ug/l] Trend</a:t>
            </a:r>
          </a:p>
        </c:rich>
      </c:tx>
      <c:layout>
        <c:manualLayout>
          <c:xMode val="edge"/>
          <c:yMode val="edge"/>
          <c:x val="0.23974763406942956"/>
          <c:y val="3.6423841059602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480801335559273E-2"/>
          <c:y val="0.11281427234183138"/>
          <c:w val="0.90150250417360756"/>
          <c:h val="0.751424113943798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'Annual Reservoir Trends'!$B$14</c:f>
              <c:strCache>
                <c:ptCount val="1"/>
                <c:pt idx="0">
                  <c:v>Top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'Annual Reservoir Trends'!$C$3:$AE$3</c:f>
              <c:numCache>
                <c:formatCode>0</c:formatCode>
                <c:ptCount val="29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</c:numCache>
            </c:numRef>
          </c:cat>
          <c:val>
            <c:numRef>
              <c:f>'Annual Reservoir Trends'!$C$14:$AE$14</c:f>
              <c:numCache>
                <c:formatCode>#,##0</c:formatCode>
                <c:ptCount val="29"/>
                <c:pt idx="0">
                  <c:v>144</c:v>
                </c:pt>
                <c:pt idx="1">
                  <c:v>146</c:v>
                </c:pt>
                <c:pt idx="2">
                  <c:v>175</c:v>
                </c:pt>
                <c:pt idx="3">
                  <c:v>83</c:v>
                </c:pt>
                <c:pt idx="4">
                  <c:v>34</c:v>
                </c:pt>
                <c:pt idx="5">
                  <c:v>29</c:v>
                </c:pt>
                <c:pt idx="6">
                  <c:v>38</c:v>
                </c:pt>
                <c:pt idx="7">
                  <c:v>33</c:v>
                </c:pt>
                <c:pt idx="8">
                  <c:v>34</c:v>
                </c:pt>
                <c:pt idx="9">
                  <c:v>59</c:v>
                </c:pt>
                <c:pt idx="10">
                  <c:v>42</c:v>
                </c:pt>
                <c:pt idx="11">
                  <c:v>46</c:v>
                </c:pt>
                <c:pt idx="12">
                  <c:v>79</c:v>
                </c:pt>
                <c:pt idx="13">
                  <c:v>24</c:v>
                </c:pt>
                <c:pt idx="14" formatCode="0">
                  <c:v>33.021419788316948</c:v>
                </c:pt>
                <c:pt idx="15" formatCode="0">
                  <c:v>66.601427985887796</c:v>
                </c:pt>
                <c:pt idx="16" formatCode="0.0">
                  <c:v>29.742840573556929</c:v>
                </c:pt>
                <c:pt idx="17" formatCode="0.0">
                  <c:v>39.799999999999997</c:v>
                </c:pt>
                <c:pt idx="18" formatCode="0.0">
                  <c:v>34.200000000000003</c:v>
                </c:pt>
                <c:pt idx="19" formatCode="0.0">
                  <c:v>28.3</c:v>
                </c:pt>
                <c:pt idx="20" formatCode="0.0">
                  <c:v>33.700000000000003</c:v>
                </c:pt>
                <c:pt idx="21" formatCode="0.0">
                  <c:v>53.4</c:v>
                </c:pt>
                <c:pt idx="22" formatCode="0.0">
                  <c:v>71.400000000000006</c:v>
                </c:pt>
                <c:pt idx="23" formatCode="0.0">
                  <c:v>25</c:v>
                </c:pt>
                <c:pt idx="24" formatCode="0.0">
                  <c:v>112</c:v>
                </c:pt>
                <c:pt idx="25" formatCode="0.0">
                  <c:v>38.700000000000003</c:v>
                </c:pt>
                <c:pt idx="26" formatCode="0.0">
                  <c:v>33</c:v>
                </c:pt>
                <c:pt idx="27" formatCode="0.0">
                  <c:v>41.4</c:v>
                </c:pt>
                <c:pt idx="28" formatCode="0.0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F-4055-B9F3-997DC2FD8AB5}"/>
            </c:ext>
          </c:extLst>
        </c:ser>
        <c:ser>
          <c:idx val="3"/>
          <c:order val="1"/>
          <c:tx>
            <c:strRef>
              <c:f>'Annual Reservoir Trends'!$B$16</c:f>
              <c:strCache>
                <c:ptCount val="1"/>
                <c:pt idx="0">
                  <c:v>Bottom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trendline>
            <c:spPr>
              <a:ln w="19050" cap="rnd">
                <a:solidFill>
                  <a:schemeClr val="accent4"/>
                </a:solidFill>
              </a:ln>
              <a:effectLst/>
            </c:spPr>
            <c:trendlineType val="linear"/>
            <c:dispRSqr val="0"/>
            <c:dispEq val="0"/>
          </c:trendline>
          <c:cat>
            <c:numRef>
              <c:f>'Annual Reservoir Trends'!$C$3:$AE$3</c:f>
              <c:numCache>
                <c:formatCode>0</c:formatCode>
                <c:ptCount val="29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</c:numCache>
            </c:numRef>
          </c:cat>
          <c:val>
            <c:numRef>
              <c:f>'Annual Reservoir Trends'!$C$16:$AE$16</c:f>
              <c:numCache>
                <c:formatCode>#,##0</c:formatCode>
                <c:ptCount val="29"/>
                <c:pt idx="0">
                  <c:v>270</c:v>
                </c:pt>
                <c:pt idx="1">
                  <c:v>201</c:v>
                </c:pt>
                <c:pt idx="2">
                  <c:v>240</c:v>
                </c:pt>
                <c:pt idx="3">
                  <c:v>99</c:v>
                </c:pt>
                <c:pt idx="4">
                  <c:v>52</c:v>
                </c:pt>
                <c:pt idx="5">
                  <c:v>66</c:v>
                </c:pt>
                <c:pt idx="6">
                  <c:v>86</c:v>
                </c:pt>
                <c:pt idx="7">
                  <c:v>69</c:v>
                </c:pt>
                <c:pt idx="8">
                  <c:v>54</c:v>
                </c:pt>
                <c:pt idx="9">
                  <c:v>56</c:v>
                </c:pt>
                <c:pt idx="10">
                  <c:v>64</c:v>
                </c:pt>
                <c:pt idx="11">
                  <c:v>56</c:v>
                </c:pt>
                <c:pt idx="12">
                  <c:v>56</c:v>
                </c:pt>
                <c:pt idx="13">
                  <c:v>44</c:v>
                </c:pt>
                <c:pt idx="14" formatCode="0">
                  <c:v>47.091899981300472</c:v>
                </c:pt>
                <c:pt idx="15" formatCode="0">
                  <c:v>97.33945999875337</c:v>
                </c:pt>
                <c:pt idx="16" formatCode="0.0">
                  <c:v>30.821478699787626</c:v>
                </c:pt>
                <c:pt idx="17" formatCode="0.0">
                  <c:v>62.2</c:v>
                </c:pt>
                <c:pt idx="18" formatCode="0.0">
                  <c:v>35.299999999999997</c:v>
                </c:pt>
                <c:pt idx="19" formatCode="0.0">
                  <c:v>38.9</c:v>
                </c:pt>
                <c:pt idx="20" formatCode="0.0">
                  <c:v>47.9</c:v>
                </c:pt>
                <c:pt idx="21" formatCode="0.0">
                  <c:v>69.8</c:v>
                </c:pt>
                <c:pt idx="22" formatCode="0.0">
                  <c:v>59.8</c:v>
                </c:pt>
                <c:pt idx="23" formatCode="0.0">
                  <c:v>36</c:v>
                </c:pt>
                <c:pt idx="24" formatCode="0.0">
                  <c:v>191</c:v>
                </c:pt>
                <c:pt idx="25" formatCode="0.0">
                  <c:v>92.8</c:v>
                </c:pt>
                <c:pt idx="26" formatCode="0.0">
                  <c:v>57</c:v>
                </c:pt>
                <c:pt idx="27" formatCode="0.0">
                  <c:v>47.9</c:v>
                </c:pt>
                <c:pt idx="28" formatCode="0.0">
                  <c:v>91.5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F-4055-B9F3-997DC2FD8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4969344"/>
        <c:axId val="104970880"/>
      </c:barChart>
      <c:catAx>
        <c:axId val="10496934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7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97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6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2212776507149465"/>
          <c:y val="0.1384842131419963"/>
          <c:w val="0.36286470819516981"/>
          <c:h val="7.59028369861410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2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2019 Reservoir Inflow [Ac-Ft Per Month] </a:t>
            </a:r>
          </a:p>
        </c:rich>
      </c:tx>
      <c:layout>
        <c:manualLayout>
          <c:xMode val="edge"/>
          <c:yMode val="edge"/>
          <c:x val="0.31160818584827732"/>
          <c:y val="6.442411511685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85444401517969"/>
          <c:y val="0.10597826086956515"/>
          <c:w val="0.88115677757209077"/>
          <c:h val="0.703763183358305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'Monthly Discharge'!$A$29</c:f>
              <c:strCache>
                <c:ptCount val="1"/>
                <c:pt idx="0">
                  <c:v>Turkey Creek Inflow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'[1]Monthly Discharge'!$B$23:$M$23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Discharge'!$B$29:$M$29</c:f>
              <c:numCache>
                <c:formatCode>#,##0.0</c:formatCode>
                <c:ptCount val="12"/>
                <c:pt idx="0">
                  <c:v>67.620300000000015</c:v>
                </c:pt>
                <c:pt idx="1">
                  <c:v>138.01679999999999</c:v>
                </c:pt>
                <c:pt idx="2">
                  <c:v>215.15550000000002</c:v>
                </c:pt>
                <c:pt idx="3">
                  <c:v>511.61399999999998</c:v>
                </c:pt>
                <c:pt idx="4">
                  <c:v>122.94600000000001</c:v>
                </c:pt>
                <c:pt idx="5">
                  <c:v>696.03300000000002</c:v>
                </c:pt>
                <c:pt idx="6">
                  <c:v>59.01408</c:v>
                </c:pt>
                <c:pt idx="7">
                  <c:v>67.620300000000015</c:v>
                </c:pt>
                <c:pt idx="8">
                  <c:v>19.631700000000002</c:v>
                </c:pt>
                <c:pt idx="9">
                  <c:v>32.580690000000004</c:v>
                </c:pt>
                <c:pt idx="10">
                  <c:v>118.98</c:v>
                </c:pt>
                <c:pt idx="11">
                  <c:v>61.473000000000006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7-4FB0-A02D-6758BCFC8A1E}"/>
            </c:ext>
          </c:extLst>
        </c:ser>
        <c:ser>
          <c:idx val="1"/>
          <c:order val="1"/>
          <c:tx>
            <c:strRef>
              <c:f>'Monthly Discharge'!$A$30</c:f>
              <c:strCache>
                <c:ptCount val="1"/>
                <c:pt idx="0">
                  <c:v>Bear Creek Inflow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'[1]Monthly Discharge'!$B$23:$M$23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Discharge'!$B$30:$M$30</c:f>
              <c:numCache>
                <c:formatCode>#,##0.0</c:formatCode>
                <c:ptCount val="12"/>
                <c:pt idx="0">
                  <c:v>737.67599999999993</c:v>
                </c:pt>
                <c:pt idx="1">
                  <c:v>517.56299999999999</c:v>
                </c:pt>
                <c:pt idx="2">
                  <c:v>491.78400000000005</c:v>
                </c:pt>
                <c:pt idx="3">
                  <c:v>737.67600000000004</c:v>
                </c:pt>
                <c:pt idx="4">
                  <c:v>1438.4682</c:v>
                </c:pt>
                <c:pt idx="5">
                  <c:v>5312.4569999999994</c:v>
                </c:pt>
                <c:pt idx="6">
                  <c:v>3270.3636000000001</c:v>
                </c:pt>
                <c:pt idx="7">
                  <c:v>1124.9559000000002</c:v>
                </c:pt>
                <c:pt idx="8">
                  <c:v>577.053</c:v>
                </c:pt>
                <c:pt idx="9">
                  <c:v>799.149</c:v>
                </c:pt>
                <c:pt idx="10">
                  <c:v>594.90000000000009</c:v>
                </c:pt>
                <c:pt idx="11">
                  <c:v>737.67599999999993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07-4FB0-A02D-6758BCFC8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711616"/>
        <c:axId val="99721600"/>
      </c:barChart>
      <c:lineChart>
        <c:grouping val="standard"/>
        <c:varyColors val="0"/>
        <c:ser>
          <c:idx val="2"/>
          <c:order val="2"/>
          <c:tx>
            <c:strRef>
              <c:f>'Monthly Discharge'!$A$31</c:f>
              <c:strCache>
                <c:ptCount val="1"/>
                <c:pt idx="0">
                  <c:v>Total Inflow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'[1]Monthly Discharge'!$B$23:$M$23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Discharge'!$B$31:$M$31</c:f>
              <c:numCache>
                <c:formatCode>#,##0.0</c:formatCode>
                <c:ptCount val="12"/>
                <c:pt idx="0">
                  <c:v>805.29629999999997</c:v>
                </c:pt>
                <c:pt idx="1">
                  <c:v>655.57979999999998</c:v>
                </c:pt>
                <c:pt idx="2">
                  <c:v>706.93950000000007</c:v>
                </c:pt>
                <c:pt idx="3">
                  <c:v>1249.29</c:v>
                </c:pt>
                <c:pt idx="4">
                  <c:v>1561.4141999999999</c:v>
                </c:pt>
                <c:pt idx="5">
                  <c:v>6008.49</c:v>
                </c:pt>
                <c:pt idx="6">
                  <c:v>3329.3776800000001</c:v>
                </c:pt>
                <c:pt idx="7">
                  <c:v>1192.5762000000002</c:v>
                </c:pt>
                <c:pt idx="8">
                  <c:v>596.68470000000002</c:v>
                </c:pt>
                <c:pt idx="9">
                  <c:v>831.72969000000001</c:v>
                </c:pt>
                <c:pt idx="10">
                  <c:v>713.88000000000011</c:v>
                </c:pt>
                <c:pt idx="11">
                  <c:v>799.14899999999989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07-4FB0-A02D-6758BCFC8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11616"/>
        <c:axId val="99721600"/>
      </c:lineChart>
      <c:catAx>
        <c:axId val="99711616"/>
        <c:scaling>
          <c:orientation val="minMax"/>
        </c:scaling>
        <c:delete val="0"/>
        <c:axPos val="b"/>
        <c:numFmt formatCode="[$-409]d\-mmm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7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72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Monthly Inflow Acre-Feet</a:t>
                </a:r>
              </a:p>
            </c:rich>
          </c:tx>
          <c:layout>
            <c:manualLayout>
              <c:xMode val="edge"/>
              <c:yMode val="edge"/>
              <c:x val="1.0043103415451501E-2"/>
              <c:y val="0.21195656919964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71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2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Estimated Bear Creek Reservoir Inflow (Acre-Ft/Year)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63503914878209"/>
          <c:y val="0.11790411519660959"/>
          <c:w val="0.8226665042525757"/>
          <c:h val="0.717371659491576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'Monthly Discharge'!$B$64</c:f>
              <c:strCache>
                <c:ptCount val="1"/>
                <c:pt idx="0">
                  <c:v>Total Reservoir Inflow (Acre-Ft/Year)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trendline>
            <c:spPr>
              <a:ln w="19050" cap="rnd">
                <a:solidFill>
                  <a:schemeClr val="accent2"/>
                </a:solidFill>
              </a:ln>
              <a:effectLst/>
            </c:spPr>
            <c:trendlineType val="linear"/>
            <c:dispRSqr val="0"/>
            <c:dispEq val="0"/>
          </c:trendline>
          <c:cat>
            <c:numRef>
              <c:f>'Monthly Discharge'!$A$65:$A$97</c:f>
              <c:numCache>
                <c:formatCode>General</c:formatCode>
                <c:ptCount val="33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'Monthly Discharge'!$B$65:$B$97</c:f>
              <c:numCache>
                <c:formatCode>#,##0</c:formatCode>
                <c:ptCount val="33"/>
                <c:pt idx="0">
                  <c:v>61594.954499999993</c:v>
                </c:pt>
                <c:pt idx="1">
                  <c:v>26201.379000000001</c:v>
                </c:pt>
                <c:pt idx="2">
                  <c:v>7527.4679999999998</c:v>
                </c:pt>
                <c:pt idx="3">
                  <c:v>20266.259999999998</c:v>
                </c:pt>
                <c:pt idx="4">
                  <c:v>25694.7225</c:v>
                </c:pt>
                <c:pt idx="5">
                  <c:v>18384.392999999996</c:v>
                </c:pt>
                <c:pt idx="6">
                  <c:v>11291.201999999999</c:v>
                </c:pt>
                <c:pt idx="7">
                  <c:v>13173.069</c:v>
                </c:pt>
                <c:pt idx="8">
                  <c:v>69556.699499999988</c:v>
                </c:pt>
                <c:pt idx="9">
                  <c:v>22654.783499999998</c:v>
                </c:pt>
                <c:pt idx="10">
                  <c:v>38071.616999999998</c:v>
                </c:pt>
                <c:pt idx="11">
                  <c:v>69122.422500000001</c:v>
                </c:pt>
                <c:pt idx="12">
                  <c:v>52692.275999999998</c:v>
                </c:pt>
                <c:pt idx="13">
                  <c:v>13173.069</c:v>
                </c:pt>
                <c:pt idx="14">
                  <c:v>15134.171499999999</c:v>
                </c:pt>
                <c:pt idx="15">
                  <c:v>4248.6766499999994</c:v>
                </c:pt>
                <c:pt idx="16">
                  <c:v>21641.470499999999</c:v>
                </c:pt>
                <c:pt idx="17">
                  <c:v>20924.913449999996</c:v>
                </c:pt>
                <c:pt idx="18">
                  <c:v>36624.026999999995</c:v>
                </c:pt>
                <c:pt idx="19">
                  <c:v>8497.4680000000008</c:v>
                </c:pt>
                <c:pt idx="20">
                  <c:v>56500</c:v>
                </c:pt>
                <c:pt idx="21">
                  <c:v>19400</c:v>
                </c:pt>
                <c:pt idx="22">
                  <c:v>25943</c:v>
                </c:pt>
                <c:pt idx="23">
                  <c:v>29007</c:v>
                </c:pt>
                <c:pt idx="24">
                  <c:v>9432</c:v>
                </c:pt>
                <c:pt idx="25">
                  <c:v>5868</c:v>
                </c:pt>
                <c:pt idx="26">
                  <c:v>42275</c:v>
                </c:pt>
                <c:pt idx="27">
                  <c:v>32941</c:v>
                </c:pt>
                <c:pt idx="28">
                  <c:v>118929</c:v>
                </c:pt>
                <c:pt idx="29">
                  <c:v>39551</c:v>
                </c:pt>
                <c:pt idx="30">
                  <c:v>20626</c:v>
                </c:pt>
                <c:pt idx="31">
                  <c:v>6988</c:v>
                </c:pt>
                <c:pt idx="32">
                  <c:v>18450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1-4C88-A0C4-0324637A3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4107520"/>
        <c:axId val="114109056"/>
      </c:barChart>
      <c:catAx>
        <c:axId val="11410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36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10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Acre-Feet Per Year</a:t>
                </a:r>
              </a:p>
            </c:rich>
          </c:tx>
          <c:layout>
            <c:manualLayout>
              <c:xMode val="edge"/>
              <c:yMode val="edge"/>
              <c:x val="3.196347796950913E-2"/>
              <c:y val="0.312461269207650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07520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Bear Creek Reservoir 2019 In-Flow Estimates</a:t>
            </a:r>
          </a:p>
        </c:rich>
      </c:tx>
      <c:layout>
        <c:manualLayout>
          <c:xMode val="edge"/>
          <c:yMode val="edge"/>
          <c:x val="0.29159713111771834"/>
          <c:y val="5.15789452308766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'Monthly Discharge'!$A$29</c:f>
              <c:strCache>
                <c:ptCount val="1"/>
                <c:pt idx="0">
                  <c:v>Turkey Creek Inflow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'Monthly Discharge'!$B$26:$M$26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Discharge'!$B$29:$M$29</c:f>
              <c:numCache>
                <c:formatCode>#,##0.0</c:formatCode>
                <c:ptCount val="12"/>
                <c:pt idx="0">
                  <c:v>67.620300000000015</c:v>
                </c:pt>
                <c:pt idx="1">
                  <c:v>138.01679999999999</c:v>
                </c:pt>
                <c:pt idx="2">
                  <c:v>215.15550000000002</c:v>
                </c:pt>
                <c:pt idx="3">
                  <c:v>511.61399999999998</c:v>
                </c:pt>
                <c:pt idx="4">
                  <c:v>122.94600000000001</c:v>
                </c:pt>
                <c:pt idx="5">
                  <c:v>696.03300000000002</c:v>
                </c:pt>
                <c:pt idx="6">
                  <c:v>59.01408</c:v>
                </c:pt>
                <c:pt idx="7">
                  <c:v>67.620300000000015</c:v>
                </c:pt>
                <c:pt idx="8">
                  <c:v>19.631700000000002</c:v>
                </c:pt>
                <c:pt idx="9">
                  <c:v>32.580690000000004</c:v>
                </c:pt>
                <c:pt idx="10">
                  <c:v>118.98</c:v>
                </c:pt>
                <c:pt idx="11">
                  <c:v>61.473000000000006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E-490A-8EE5-A097B7133A6F}"/>
            </c:ext>
          </c:extLst>
        </c:ser>
        <c:ser>
          <c:idx val="1"/>
          <c:order val="1"/>
          <c:tx>
            <c:strRef>
              <c:f>'Monthly Discharge'!$A$30</c:f>
              <c:strCache>
                <c:ptCount val="1"/>
                <c:pt idx="0">
                  <c:v>Bear Creek Inflow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'Monthly Discharge'!$B$26:$M$26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'Monthly Discharge'!$B$30:$M$30</c:f>
              <c:numCache>
                <c:formatCode>#,##0.0</c:formatCode>
                <c:ptCount val="12"/>
                <c:pt idx="0">
                  <c:v>737.67599999999993</c:v>
                </c:pt>
                <c:pt idx="1">
                  <c:v>517.56299999999999</c:v>
                </c:pt>
                <c:pt idx="2">
                  <c:v>491.78400000000005</c:v>
                </c:pt>
                <c:pt idx="3">
                  <c:v>737.67600000000004</c:v>
                </c:pt>
                <c:pt idx="4">
                  <c:v>1438.4682</c:v>
                </c:pt>
                <c:pt idx="5">
                  <c:v>5312.4569999999994</c:v>
                </c:pt>
                <c:pt idx="6">
                  <c:v>3270.3636000000001</c:v>
                </c:pt>
                <c:pt idx="7">
                  <c:v>1124.9559000000002</c:v>
                </c:pt>
                <c:pt idx="8">
                  <c:v>577.053</c:v>
                </c:pt>
                <c:pt idx="9">
                  <c:v>799.149</c:v>
                </c:pt>
                <c:pt idx="10">
                  <c:v>594.90000000000009</c:v>
                </c:pt>
                <c:pt idx="11">
                  <c:v>737.67599999999993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BE-490A-8EE5-A097B7133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4146304"/>
        <c:axId val="114148096"/>
      </c:barChart>
      <c:catAx>
        <c:axId val="114146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48096"/>
        <c:crosses val="autoZero"/>
        <c:auto val="1"/>
        <c:lblAlgn val="ctr"/>
        <c:lblOffset val="100"/>
        <c:noMultiLvlLbl val="0"/>
      </c:catAx>
      <c:valAx>
        <c:axId val="11414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Acre-feet/month</a:t>
                </a:r>
              </a:p>
            </c:rich>
          </c:tx>
          <c:layout>
            <c:manualLayout>
              <c:xMode val="edge"/>
              <c:yMode val="edge"/>
              <c:x val="6.6553493287305393E-2"/>
              <c:y val="0.271329039729451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463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forward val="1000"/>
            <c:dispRSqr val="1"/>
            <c:dispEq val="1"/>
            <c:trendlineLbl>
              <c:layout>
                <c:manualLayout>
                  <c:x val="-0.11603507870010829"/>
                  <c:y val="0.15085590086450726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600"/>
                  </a:pPr>
                  <a:endParaRPr lang="en-US"/>
                </a:p>
              </c:txPr>
            </c:trendlineLbl>
          </c:trendline>
          <c:trendline>
            <c:trendlineType val="exp"/>
            <c:dispRSqr val="0"/>
            <c:dispEq val="0"/>
          </c:trendline>
          <c:xVal>
            <c:numRef>
              <c:f>'Monthly Discharge'!$L$125:$L$151</c:f>
              <c:numCache>
                <c:formatCode>#,##0</c:formatCode>
                <c:ptCount val="27"/>
                <c:pt idx="0">
                  <c:v>44.4</c:v>
                </c:pt>
                <c:pt idx="1">
                  <c:v>46</c:v>
                </c:pt>
                <c:pt idx="2">
                  <c:v>46.1</c:v>
                </c:pt>
                <c:pt idx="3">
                  <c:v>44.2</c:v>
                </c:pt>
                <c:pt idx="4">
                  <c:v>42.6</c:v>
                </c:pt>
                <c:pt idx="5">
                  <c:v>39.4</c:v>
                </c:pt>
                <c:pt idx="6">
                  <c:v>36.1</c:v>
                </c:pt>
                <c:pt idx="7">
                  <c:v>36.299999999999997</c:v>
                </c:pt>
                <c:pt idx="8">
                  <c:v>48</c:v>
                </c:pt>
                <c:pt idx="9">
                  <c:v>132</c:v>
                </c:pt>
                <c:pt idx="10">
                  <c:v>391</c:v>
                </c:pt>
                <c:pt idx="11">
                  <c:v>405</c:v>
                </c:pt>
                <c:pt idx="12">
                  <c:v>845.3</c:v>
                </c:pt>
                <c:pt idx="13">
                  <c:v>747</c:v>
                </c:pt>
                <c:pt idx="14">
                  <c:v>551</c:v>
                </c:pt>
                <c:pt idx="15">
                  <c:v>427</c:v>
                </c:pt>
                <c:pt idx="16">
                  <c:v>345</c:v>
                </c:pt>
                <c:pt idx="17">
                  <c:v>315</c:v>
                </c:pt>
                <c:pt idx="18">
                  <c:v>248</c:v>
                </c:pt>
                <c:pt idx="19">
                  <c:v>216</c:v>
                </c:pt>
                <c:pt idx="20">
                  <c:v>191</c:v>
                </c:pt>
                <c:pt idx="21">
                  <c:v>188</c:v>
                </c:pt>
                <c:pt idx="22">
                  <c:v>183</c:v>
                </c:pt>
                <c:pt idx="23">
                  <c:v>160</c:v>
                </c:pt>
                <c:pt idx="24">
                  <c:v>146</c:v>
                </c:pt>
                <c:pt idx="25">
                  <c:v>1000</c:v>
                </c:pt>
                <c:pt idx="26">
                  <c:v>1800</c:v>
                </c:pt>
              </c:numCache>
            </c:numRef>
          </c:xVal>
          <c:yVal>
            <c:numRef>
              <c:f>'Monthly Discharge'!$M$125:$M$151</c:f>
              <c:numCache>
                <c:formatCode>#,##0</c:formatCode>
                <c:ptCount val="27"/>
                <c:pt idx="0">
                  <c:v>6.33</c:v>
                </c:pt>
                <c:pt idx="1">
                  <c:v>6.34</c:v>
                </c:pt>
                <c:pt idx="2">
                  <c:v>6.34</c:v>
                </c:pt>
                <c:pt idx="3">
                  <c:v>6.33</c:v>
                </c:pt>
                <c:pt idx="4">
                  <c:v>6.31</c:v>
                </c:pt>
                <c:pt idx="5">
                  <c:v>6.28</c:v>
                </c:pt>
                <c:pt idx="6">
                  <c:v>6.24</c:v>
                </c:pt>
                <c:pt idx="7">
                  <c:v>6.24</c:v>
                </c:pt>
                <c:pt idx="8">
                  <c:v>6.31</c:v>
                </c:pt>
                <c:pt idx="9">
                  <c:v>6.8</c:v>
                </c:pt>
                <c:pt idx="10">
                  <c:v>7.34</c:v>
                </c:pt>
                <c:pt idx="11">
                  <c:v>7.68</c:v>
                </c:pt>
                <c:pt idx="12">
                  <c:v>7.91</c:v>
                </c:pt>
                <c:pt idx="13">
                  <c:v>7.75</c:v>
                </c:pt>
                <c:pt idx="14">
                  <c:v>7.58</c:v>
                </c:pt>
                <c:pt idx="15">
                  <c:v>7.44</c:v>
                </c:pt>
                <c:pt idx="16">
                  <c:v>7.32</c:v>
                </c:pt>
                <c:pt idx="17">
                  <c:v>7.27</c:v>
                </c:pt>
                <c:pt idx="18">
                  <c:v>7.15</c:v>
                </c:pt>
                <c:pt idx="19">
                  <c:v>7.08</c:v>
                </c:pt>
                <c:pt idx="20">
                  <c:v>7.02</c:v>
                </c:pt>
                <c:pt idx="21">
                  <c:v>6.98</c:v>
                </c:pt>
                <c:pt idx="22">
                  <c:v>6.95</c:v>
                </c:pt>
                <c:pt idx="23">
                  <c:v>6.88</c:v>
                </c:pt>
                <c:pt idx="24">
                  <c:v>6.84</c:v>
                </c:pt>
                <c:pt idx="25">
                  <c:v>8</c:v>
                </c:pt>
                <c:pt idx="26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B9-42C3-9A34-F3D188C47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044288"/>
        <c:axId val="114054272"/>
      </c:scatterChart>
      <c:valAx>
        <c:axId val="114044288"/>
        <c:scaling>
          <c:orientation val="minMax"/>
        </c:scaling>
        <c:delete val="0"/>
        <c:axPos val="b"/>
        <c:minorGridlines/>
        <c:numFmt formatCode="#,##0" sourceLinked="1"/>
        <c:majorTickMark val="out"/>
        <c:minorTickMark val="none"/>
        <c:tickLblPos val="nextTo"/>
        <c:crossAx val="114054272"/>
        <c:crosses val="autoZero"/>
        <c:crossBetween val="midCat"/>
      </c:valAx>
      <c:valAx>
        <c:axId val="114054272"/>
        <c:scaling>
          <c:orientation val="minMax"/>
          <c:max val="10"/>
          <c:min val="6"/>
        </c:scaling>
        <c:delete val="0"/>
        <c:axPos val="l"/>
        <c:majorGridlines/>
        <c:minorGridlines/>
        <c:numFmt formatCode="#,##0" sourceLinked="1"/>
        <c:majorTickMark val="out"/>
        <c:minorTickMark val="none"/>
        <c:tickLblPos val="nextTo"/>
        <c:crossAx val="1140442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Bear Creek Reservoir Pool Level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cat>
            <c:numRef>
              <c:f>'Monthly Discharge'!$AG$3:$AG$374</c:f>
              <c:numCache>
                <c:formatCode>m/d/yy;@</c:formatCode>
                <c:ptCount val="372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6">
                  <c:v>43490</c:v>
                </c:pt>
                <c:pt idx="27">
                  <c:v>43491</c:v>
                </c:pt>
                <c:pt idx="28">
                  <c:v>43492</c:v>
                </c:pt>
                <c:pt idx="29">
                  <c:v>43493</c:v>
                </c:pt>
                <c:pt idx="30">
                  <c:v>43494</c:v>
                </c:pt>
                <c:pt idx="31">
                  <c:v>43495</c:v>
                </c:pt>
                <c:pt idx="32">
                  <c:v>43496</c:v>
                </c:pt>
                <c:pt idx="33">
                  <c:v>43497</c:v>
                </c:pt>
                <c:pt idx="34">
                  <c:v>43498</c:v>
                </c:pt>
                <c:pt idx="35">
                  <c:v>43499</c:v>
                </c:pt>
                <c:pt idx="36">
                  <c:v>43500</c:v>
                </c:pt>
                <c:pt idx="37">
                  <c:v>43501</c:v>
                </c:pt>
                <c:pt idx="38">
                  <c:v>43502</c:v>
                </c:pt>
                <c:pt idx="39">
                  <c:v>43503</c:v>
                </c:pt>
                <c:pt idx="40">
                  <c:v>43504</c:v>
                </c:pt>
                <c:pt idx="41">
                  <c:v>43505</c:v>
                </c:pt>
                <c:pt idx="42">
                  <c:v>43506</c:v>
                </c:pt>
                <c:pt idx="43">
                  <c:v>43507</c:v>
                </c:pt>
                <c:pt idx="44">
                  <c:v>43508</c:v>
                </c:pt>
                <c:pt idx="45">
                  <c:v>43509</c:v>
                </c:pt>
                <c:pt idx="46">
                  <c:v>43510</c:v>
                </c:pt>
                <c:pt idx="47">
                  <c:v>43511</c:v>
                </c:pt>
                <c:pt idx="48">
                  <c:v>43512</c:v>
                </c:pt>
                <c:pt idx="49">
                  <c:v>43513</c:v>
                </c:pt>
                <c:pt idx="50">
                  <c:v>43514</c:v>
                </c:pt>
                <c:pt idx="51">
                  <c:v>43515</c:v>
                </c:pt>
                <c:pt idx="52">
                  <c:v>43516</c:v>
                </c:pt>
                <c:pt idx="53">
                  <c:v>43517</c:v>
                </c:pt>
                <c:pt idx="54">
                  <c:v>43518</c:v>
                </c:pt>
                <c:pt idx="55">
                  <c:v>43519</c:v>
                </c:pt>
                <c:pt idx="56">
                  <c:v>43520</c:v>
                </c:pt>
                <c:pt idx="57">
                  <c:v>43521</c:v>
                </c:pt>
                <c:pt idx="58">
                  <c:v>43522</c:v>
                </c:pt>
                <c:pt idx="59">
                  <c:v>43523</c:v>
                </c:pt>
                <c:pt idx="60">
                  <c:v>43524</c:v>
                </c:pt>
                <c:pt idx="61">
                  <c:v>43525</c:v>
                </c:pt>
                <c:pt idx="62">
                  <c:v>43526</c:v>
                </c:pt>
                <c:pt idx="63">
                  <c:v>43527</c:v>
                </c:pt>
                <c:pt idx="64">
                  <c:v>43528</c:v>
                </c:pt>
                <c:pt idx="65">
                  <c:v>43529</c:v>
                </c:pt>
                <c:pt idx="66">
                  <c:v>43530</c:v>
                </c:pt>
                <c:pt idx="67">
                  <c:v>43531</c:v>
                </c:pt>
                <c:pt idx="68">
                  <c:v>43532</c:v>
                </c:pt>
                <c:pt idx="69">
                  <c:v>43533</c:v>
                </c:pt>
                <c:pt idx="70">
                  <c:v>43534</c:v>
                </c:pt>
                <c:pt idx="71">
                  <c:v>43535</c:v>
                </c:pt>
                <c:pt idx="72">
                  <c:v>43536</c:v>
                </c:pt>
                <c:pt idx="73">
                  <c:v>43537</c:v>
                </c:pt>
                <c:pt idx="74">
                  <c:v>43538</c:v>
                </c:pt>
                <c:pt idx="75">
                  <c:v>43539</c:v>
                </c:pt>
                <c:pt idx="76">
                  <c:v>43540</c:v>
                </c:pt>
                <c:pt idx="77">
                  <c:v>43541</c:v>
                </c:pt>
                <c:pt idx="78">
                  <c:v>43542</c:v>
                </c:pt>
                <c:pt idx="79">
                  <c:v>43543</c:v>
                </c:pt>
                <c:pt idx="80">
                  <c:v>43544</c:v>
                </c:pt>
                <c:pt idx="81">
                  <c:v>43545</c:v>
                </c:pt>
                <c:pt idx="82">
                  <c:v>43546</c:v>
                </c:pt>
                <c:pt idx="83">
                  <c:v>43547</c:v>
                </c:pt>
                <c:pt idx="84">
                  <c:v>43548</c:v>
                </c:pt>
                <c:pt idx="85">
                  <c:v>43549</c:v>
                </c:pt>
                <c:pt idx="86">
                  <c:v>43550</c:v>
                </c:pt>
                <c:pt idx="87">
                  <c:v>43551</c:v>
                </c:pt>
                <c:pt idx="88">
                  <c:v>43552</c:v>
                </c:pt>
                <c:pt idx="89">
                  <c:v>43553</c:v>
                </c:pt>
                <c:pt idx="90">
                  <c:v>43554</c:v>
                </c:pt>
                <c:pt idx="91">
                  <c:v>43555</c:v>
                </c:pt>
                <c:pt idx="92">
                  <c:v>43556</c:v>
                </c:pt>
                <c:pt idx="93">
                  <c:v>43557</c:v>
                </c:pt>
                <c:pt idx="94">
                  <c:v>43558</c:v>
                </c:pt>
                <c:pt idx="95">
                  <c:v>43559</c:v>
                </c:pt>
                <c:pt idx="96">
                  <c:v>43560</c:v>
                </c:pt>
                <c:pt idx="97">
                  <c:v>43561</c:v>
                </c:pt>
                <c:pt idx="98">
                  <c:v>43562</c:v>
                </c:pt>
                <c:pt idx="99">
                  <c:v>43563</c:v>
                </c:pt>
                <c:pt idx="100">
                  <c:v>43564</c:v>
                </c:pt>
                <c:pt idx="101">
                  <c:v>43565</c:v>
                </c:pt>
                <c:pt idx="102">
                  <c:v>43566</c:v>
                </c:pt>
                <c:pt idx="103">
                  <c:v>43567</c:v>
                </c:pt>
                <c:pt idx="104">
                  <c:v>43568</c:v>
                </c:pt>
                <c:pt idx="105">
                  <c:v>43569</c:v>
                </c:pt>
                <c:pt idx="106">
                  <c:v>43570</c:v>
                </c:pt>
                <c:pt idx="107">
                  <c:v>43571</c:v>
                </c:pt>
                <c:pt idx="108">
                  <c:v>43572</c:v>
                </c:pt>
                <c:pt idx="109">
                  <c:v>43573</c:v>
                </c:pt>
                <c:pt idx="110">
                  <c:v>43574</c:v>
                </c:pt>
                <c:pt idx="111">
                  <c:v>43575</c:v>
                </c:pt>
                <c:pt idx="112">
                  <c:v>43576</c:v>
                </c:pt>
                <c:pt idx="113">
                  <c:v>43577</c:v>
                </c:pt>
                <c:pt idx="114">
                  <c:v>43578</c:v>
                </c:pt>
                <c:pt idx="115">
                  <c:v>43579</c:v>
                </c:pt>
                <c:pt idx="116">
                  <c:v>43580</c:v>
                </c:pt>
                <c:pt idx="117">
                  <c:v>43581</c:v>
                </c:pt>
                <c:pt idx="118">
                  <c:v>43582</c:v>
                </c:pt>
                <c:pt idx="119">
                  <c:v>43583</c:v>
                </c:pt>
                <c:pt idx="120">
                  <c:v>43584</c:v>
                </c:pt>
                <c:pt idx="121">
                  <c:v>43585</c:v>
                </c:pt>
                <c:pt idx="122">
                  <c:v>43586</c:v>
                </c:pt>
                <c:pt idx="123">
                  <c:v>43587</c:v>
                </c:pt>
                <c:pt idx="124">
                  <c:v>43588</c:v>
                </c:pt>
                <c:pt idx="125">
                  <c:v>43589</c:v>
                </c:pt>
                <c:pt idx="126">
                  <c:v>43590</c:v>
                </c:pt>
                <c:pt idx="127">
                  <c:v>43591</c:v>
                </c:pt>
                <c:pt idx="128">
                  <c:v>43592</c:v>
                </c:pt>
                <c:pt idx="129">
                  <c:v>43593</c:v>
                </c:pt>
                <c:pt idx="130">
                  <c:v>43594</c:v>
                </c:pt>
                <c:pt idx="131">
                  <c:v>43595</c:v>
                </c:pt>
                <c:pt idx="132">
                  <c:v>43596</c:v>
                </c:pt>
                <c:pt idx="133">
                  <c:v>43597</c:v>
                </c:pt>
                <c:pt idx="134">
                  <c:v>43598</c:v>
                </c:pt>
                <c:pt idx="135">
                  <c:v>43599</c:v>
                </c:pt>
                <c:pt idx="136">
                  <c:v>43600</c:v>
                </c:pt>
                <c:pt idx="137">
                  <c:v>43601</c:v>
                </c:pt>
                <c:pt idx="138">
                  <c:v>43602</c:v>
                </c:pt>
                <c:pt idx="139">
                  <c:v>43603</c:v>
                </c:pt>
                <c:pt idx="140">
                  <c:v>43604</c:v>
                </c:pt>
                <c:pt idx="141">
                  <c:v>43605</c:v>
                </c:pt>
                <c:pt idx="142">
                  <c:v>43606</c:v>
                </c:pt>
                <c:pt idx="143">
                  <c:v>43607</c:v>
                </c:pt>
                <c:pt idx="144">
                  <c:v>43608</c:v>
                </c:pt>
                <c:pt idx="145">
                  <c:v>43609</c:v>
                </c:pt>
                <c:pt idx="146">
                  <c:v>43610</c:v>
                </c:pt>
                <c:pt idx="147">
                  <c:v>43611</c:v>
                </c:pt>
                <c:pt idx="148">
                  <c:v>43612</c:v>
                </c:pt>
                <c:pt idx="149">
                  <c:v>43613</c:v>
                </c:pt>
                <c:pt idx="150">
                  <c:v>43614</c:v>
                </c:pt>
                <c:pt idx="151">
                  <c:v>43615</c:v>
                </c:pt>
                <c:pt idx="152">
                  <c:v>43616</c:v>
                </c:pt>
                <c:pt idx="153">
                  <c:v>43617</c:v>
                </c:pt>
                <c:pt idx="154">
                  <c:v>43618</c:v>
                </c:pt>
                <c:pt idx="155">
                  <c:v>43619</c:v>
                </c:pt>
                <c:pt idx="156">
                  <c:v>43620</c:v>
                </c:pt>
                <c:pt idx="157">
                  <c:v>43621</c:v>
                </c:pt>
                <c:pt idx="158">
                  <c:v>43622</c:v>
                </c:pt>
                <c:pt idx="159">
                  <c:v>43623</c:v>
                </c:pt>
                <c:pt idx="160">
                  <c:v>43624</c:v>
                </c:pt>
                <c:pt idx="161">
                  <c:v>43625</c:v>
                </c:pt>
                <c:pt idx="162">
                  <c:v>43626</c:v>
                </c:pt>
                <c:pt idx="163">
                  <c:v>43627</c:v>
                </c:pt>
                <c:pt idx="164">
                  <c:v>43628</c:v>
                </c:pt>
                <c:pt idx="165">
                  <c:v>43629</c:v>
                </c:pt>
                <c:pt idx="166">
                  <c:v>43630</c:v>
                </c:pt>
                <c:pt idx="167">
                  <c:v>43631</c:v>
                </c:pt>
                <c:pt idx="168">
                  <c:v>43632</c:v>
                </c:pt>
                <c:pt idx="169">
                  <c:v>43633</c:v>
                </c:pt>
                <c:pt idx="170">
                  <c:v>43634</c:v>
                </c:pt>
                <c:pt idx="171">
                  <c:v>43635</c:v>
                </c:pt>
                <c:pt idx="172">
                  <c:v>43636</c:v>
                </c:pt>
                <c:pt idx="173">
                  <c:v>43637</c:v>
                </c:pt>
                <c:pt idx="174">
                  <c:v>43638</c:v>
                </c:pt>
                <c:pt idx="175">
                  <c:v>43639</c:v>
                </c:pt>
                <c:pt idx="176">
                  <c:v>43640</c:v>
                </c:pt>
                <c:pt idx="177">
                  <c:v>43641</c:v>
                </c:pt>
                <c:pt idx="178">
                  <c:v>43642</c:v>
                </c:pt>
                <c:pt idx="179">
                  <c:v>43643</c:v>
                </c:pt>
                <c:pt idx="180">
                  <c:v>43644</c:v>
                </c:pt>
                <c:pt idx="181">
                  <c:v>43645</c:v>
                </c:pt>
                <c:pt idx="182">
                  <c:v>43646</c:v>
                </c:pt>
                <c:pt idx="183">
                  <c:v>43647</c:v>
                </c:pt>
                <c:pt idx="184">
                  <c:v>43648</c:v>
                </c:pt>
                <c:pt idx="185">
                  <c:v>43649</c:v>
                </c:pt>
                <c:pt idx="186">
                  <c:v>43650</c:v>
                </c:pt>
                <c:pt idx="187">
                  <c:v>43651</c:v>
                </c:pt>
                <c:pt idx="188">
                  <c:v>43652</c:v>
                </c:pt>
                <c:pt idx="189">
                  <c:v>43653</c:v>
                </c:pt>
                <c:pt idx="190">
                  <c:v>43654</c:v>
                </c:pt>
                <c:pt idx="191">
                  <c:v>43655</c:v>
                </c:pt>
                <c:pt idx="192">
                  <c:v>43656</c:v>
                </c:pt>
                <c:pt idx="193">
                  <c:v>43657</c:v>
                </c:pt>
                <c:pt idx="194">
                  <c:v>43658</c:v>
                </c:pt>
                <c:pt idx="195">
                  <c:v>43659</c:v>
                </c:pt>
                <c:pt idx="196">
                  <c:v>43660</c:v>
                </c:pt>
                <c:pt idx="197">
                  <c:v>43661</c:v>
                </c:pt>
                <c:pt idx="198">
                  <c:v>43662</c:v>
                </c:pt>
                <c:pt idx="199">
                  <c:v>43663</c:v>
                </c:pt>
                <c:pt idx="200">
                  <c:v>43664</c:v>
                </c:pt>
                <c:pt idx="201">
                  <c:v>43665</c:v>
                </c:pt>
                <c:pt idx="202">
                  <c:v>43666</c:v>
                </c:pt>
                <c:pt idx="203">
                  <c:v>43667</c:v>
                </c:pt>
                <c:pt idx="204">
                  <c:v>43668</c:v>
                </c:pt>
                <c:pt idx="205">
                  <c:v>43669</c:v>
                </c:pt>
                <c:pt idx="206">
                  <c:v>43670</c:v>
                </c:pt>
                <c:pt idx="207">
                  <c:v>43671</c:v>
                </c:pt>
                <c:pt idx="208">
                  <c:v>43672</c:v>
                </c:pt>
                <c:pt idx="209">
                  <c:v>43673</c:v>
                </c:pt>
                <c:pt idx="210">
                  <c:v>43674</c:v>
                </c:pt>
                <c:pt idx="211">
                  <c:v>43675</c:v>
                </c:pt>
                <c:pt idx="212">
                  <c:v>43676</c:v>
                </c:pt>
                <c:pt idx="213">
                  <c:v>43677</c:v>
                </c:pt>
                <c:pt idx="214">
                  <c:v>43678</c:v>
                </c:pt>
                <c:pt idx="215">
                  <c:v>43679</c:v>
                </c:pt>
                <c:pt idx="216">
                  <c:v>43680</c:v>
                </c:pt>
                <c:pt idx="217">
                  <c:v>43681</c:v>
                </c:pt>
                <c:pt idx="218">
                  <c:v>43682</c:v>
                </c:pt>
                <c:pt idx="219">
                  <c:v>43683</c:v>
                </c:pt>
                <c:pt idx="220">
                  <c:v>43684</c:v>
                </c:pt>
                <c:pt idx="221">
                  <c:v>43685</c:v>
                </c:pt>
                <c:pt idx="222">
                  <c:v>43686</c:v>
                </c:pt>
                <c:pt idx="223">
                  <c:v>43687</c:v>
                </c:pt>
                <c:pt idx="224">
                  <c:v>43688</c:v>
                </c:pt>
                <c:pt idx="225">
                  <c:v>43689</c:v>
                </c:pt>
                <c:pt idx="226">
                  <c:v>43690</c:v>
                </c:pt>
                <c:pt idx="227">
                  <c:v>43691</c:v>
                </c:pt>
                <c:pt idx="228">
                  <c:v>43692</c:v>
                </c:pt>
                <c:pt idx="229">
                  <c:v>43693</c:v>
                </c:pt>
                <c:pt idx="230">
                  <c:v>43694</c:v>
                </c:pt>
                <c:pt idx="231">
                  <c:v>43695</c:v>
                </c:pt>
                <c:pt idx="232">
                  <c:v>43696</c:v>
                </c:pt>
                <c:pt idx="233">
                  <c:v>43697</c:v>
                </c:pt>
                <c:pt idx="234">
                  <c:v>43698</c:v>
                </c:pt>
                <c:pt idx="235">
                  <c:v>43699</c:v>
                </c:pt>
                <c:pt idx="236">
                  <c:v>43700</c:v>
                </c:pt>
                <c:pt idx="237">
                  <c:v>43701</c:v>
                </c:pt>
                <c:pt idx="238">
                  <c:v>43702</c:v>
                </c:pt>
                <c:pt idx="239">
                  <c:v>43703</c:v>
                </c:pt>
                <c:pt idx="240">
                  <c:v>43704</c:v>
                </c:pt>
                <c:pt idx="241">
                  <c:v>43705</c:v>
                </c:pt>
                <c:pt idx="242">
                  <c:v>43706</c:v>
                </c:pt>
                <c:pt idx="243">
                  <c:v>43707</c:v>
                </c:pt>
                <c:pt idx="244">
                  <c:v>43708</c:v>
                </c:pt>
                <c:pt idx="245">
                  <c:v>43709</c:v>
                </c:pt>
                <c:pt idx="246">
                  <c:v>43710</c:v>
                </c:pt>
                <c:pt idx="247">
                  <c:v>43711</c:v>
                </c:pt>
                <c:pt idx="248">
                  <c:v>43712</c:v>
                </c:pt>
                <c:pt idx="249">
                  <c:v>43713</c:v>
                </c:pt>
                <c:pt idx="250">
                  <c:v>43714</c:v>
                </c:pt>
                <c:pt idx="251">
                  <c:v>43715</c:v>
                </c:pt>
                <c:pt idx="252">
                  <c:v>43716</c:v>
                </c:pt>
                <c:pt idx="253">
                  <c:v>43717</c:v>
                </c:pt>
                <c:pt idx="254">
                  <c:v>43718</c:v>
                </c:pt>
                <c:pt idx="255">
                  <c:v>43719</c:v>
                </c:pt>
                <c:pt idx="256">
                  <c:v>43720</c:v>
                </c:pt>
                <c:pt idx="257">
                  <c:v>43721</c:v>
                </c:pt>
                <c:pt idx="258">
                  <c:v>43722</c:v>
                </c:pt>
                <c:pt idx="259">
                  <c:v>43723</c:v>
                </c:pt>
                <c:pt idx="260">
                  <c:v>43724</c:v>
                </c:pt>
                <c:pt idx="261">
                  <c:v>43725</c:v>
                </c:pt>
                <c:pt idx="262">
                  <c:v>43726</c:v>
                </c:pt>
                <c:pt idx="263">
                  <c:v>43727</c:v>
                </c:pt>
                <c:pt idx="264">
                  <c:v>43728</c:v>
                </c:pt>
                <c:pt idx="265">
                  <c:v>43729</c:v>
                </c:pt>
                <c:pt idx="266">
                  <c:v>43730</c:v>
                </c:pt>
                <c:pt idx="267">
                  <c:v>43731</c:v>
                </c:pt>
                <c:pt idx="268">
                  <c:v>43732</c:v>
                </c:pt>
                <c:pt idx="269">
                  <c:v>43733</c:v>
                </c:pt>
                <c:pt idx="270">
                  <c:v>43734</c:v>
                </c:pt>
                <c:pt idx="271">
                  <c:v>43735</c:v>
                </c:pt>
                <c:pt idx="272">
                  <c:v>43736</c:v>
                </c:pt>
                <c:pt idx="273">
                  <c:v>43737</c:v>
                </c:pt>
                <c:pt idx="274">
                  <c:v>43738</c:v>
                </c:pt>
                <c:pt idx="275">
                  <c:v>43739</c:v>
                </c:pt>
                <c:pt idx="276">
                  <c:v>43740</c:v>
                </c:pt>
                <c:pt idx="277">
                  <c:v>43741</c:v>
                </c:pt>
                <c:pt idx="278">
                  <c:v>43742</c:v>
                </c:pt>
                <c:pt idx="279">
                  <c:v>43743</c:v>
                </c:pt>
                <c:pt idx="280">
                  <c:v>43744</c:v>
                </c:pt>
                <c:pt idx="281">
                  <c:v>43745</c:v>
                </c:pt>
                <c:pt idx="282">
                  <c:v>43746</c:v>
                </c:pt>
                <c:pt idx="283">
                  <c:v>43747</c:v>
                </c:pt>
                <c:pt idx="284">
                  <c:v>43748</c:v>
                </c:pt>
                <c:pt idx="285">
                  <c:v>43749</c:v>
                </c:pt>
                <c:pt idx="286">
                  <c:v>43750</c:v>
                </c:pt>
                <c:pt idx="287">
                  <c:v>43751</c:v>
                </c:pt>
                <c:pt idx="288">
                  <c:v>43752</c:v>
                </c:pt>
                <c:pt idx="289">
                  <c:v>43753</c:v>
                </c:pt>
                <c:pt idx="290">
                  <c:v>43754</c:v>
                </c:pt>
                <c:pt idx="291">
                  <c:v>43755</c:v>
                </c:pt>
                <c:pt idx="292">
                  <c:v>43756</c:v>
                </c:pt>
                <c:pt idx="293">
                  <c:v>43757</c:v>
                </c:pt>
                <c:pt idx="294">
                  <c:v>43758</c:v>
                </c:pt>
                <c:pt idx="295">
                  <c:v>43759</c:v>
                </c:pt>
                <c:pt idx="296">
                  <c:v>43760</c:v>
                </c:pt>
                <c:pt idx="297">
                  <c:v>43761</c:v>
                </c:pt>
                <c:pt idx="298">
                  <c:v>43762</c:v>
                </c:pt>
                <c:pt idx="299">
                  <c:v>43763</c:v>
                </c:pt>
                <c:pt idx="300">
                  <c:v>43764</c:v>
                </c:pt>
                <c:pt idx="301">
                  <c:v>43765</c:v>
                </c:pt>
                <c:pt idx="302">
                  <c:v>43766</c:v>
                </c:pt>
                <c:pt idx="303">
                  <c:v>43767</c:v>
                </c:pt>
                <c:pt idx="304">
                  <c:v>43768</c:v>
                </c:pt>
                <c:pt idx="305">
                  <c:v>43769</c:v>
                </c:pt>
                <c:pt idx="306">
                  <c:v>43770</c:v>
                </c:pt>
                <c:pt idx="307">
                  <c:v>43771</c:v>
                </c:pt>
                <c:pt idx="308">
                  <c:v>43772</c:v>
                </c:pt>
                <c:pt idx="309">
                  <c:v>43773</c:v>
                </c:pt>
                <c:pt idx="310">
                  <c:v>43774</c:v>
                </c:pt>
                <c:pt idx="311">
                  <c:v>43775</c:v>
                </c:pt>
                <c:pt idx="312">
                  <c:v>43776</c:v>
                </c:pt>
                <c:pt idx="313">
                  <c:v>43777</c:v>
                </c:pt>
                <c:pt idx="314">
                  <c:v>43778</c:v>
                </c:pt>
                <c:pt idx="315">
                  <c:v>43779</c:v>
                </c:pt>
                <c:pt idx="316">
                  <c:v>43780</c:v>
                </c:pt>
                <c:pt idx="317">
                  <c:v>43781</c:v>
                </c:pt>
                <c:pt idx="318">
                  <c:v>43782</c:v>
                </c:pt>
                <c:pt idx="319">
                  <c:v>43783</c:v>
                </c:pt>
                <c:pt idx="320">
                  <c:v>43784</c:v>
                </c:pt>
                <c:pt idx="321">
                  <c:v>43785</c:v>
                </c:pt>
                <c:pt idx="322">
                  <c:v>43786</c:v>
                </c:pt>
                <c:pt idx="323">
                  <c:v>43787</c:v>
                </c:pt>
                <c:pt idx="324">
                  <c:v>43788</c:v>
                </c:pt>
                <c:pt idx="325">
                  <c:v>43789</c:v>
                </c:pt>
                <c:pt idx="326">
                  <c:v>43790</c:v>
                </c:pt>
                <c:pt idx="327">
                  <c:v>43791</c:v>
                </c:pt>
                <c:pt idx="328">
                  <c:v>43792</c:v>
                </c:pt>
                <c:pt idx="329">
                  <c:v>43793</c:v>
                </c:pt>
                <c:pt idx="330">
                  <c:v>43794</c:v>
                </c:pt>
                <c:pt idx="331">
                  <c:v>43795</c:v>
                </c:pt>
                <c:pt idx="332">
                  <c:v>43796</c:v>
                </c:pt>
                <c:pt idx="333">
                  <c:v>43797</c:v>
                </c:pt>
                <c:pt idx="334">
                  <c:v>43798</c:v>
                </c:pt>
                <c:pt idx="335">
                  <c:v>43799</c:v>
                </c:pt>
                <c:pt idx="336">
                  <c:v>43800</c:v>
                </c:pt>
                <c:pt idx="337">
                  <c:v>43801</c:v>
                </c:pt>
                <c:pt idx="338">
                  <c:v>43802</c:v>
                </c:pt>
                <c:pt idx="339">
                  <c:v>43803</c:v>
                </c:pt>
                <c:pt idx="340">
                  <c:v>43804</c:v>
                </c:pt>
                <c:pt idx="341">
                  <c:v>43805</c:v>
                </c:pt>
                <c:pt idx="342">
                  <c:v>43806</c:v>
                </c:pt>
                <c:pt idx="343">
                  <c:v>43807</c:v>
                </c:pt>
                <c:pt idx="344">
                  <c:v>43808</c:v>
                </c:pt>
                <c:pt idx="345">
                  <c:v>43809</c:v>
                </c:pt>
                <c:pt idx="346">
                  <c:v>43810</c:v>
                </c:pt>
                <c:pt idx="347">
                  <c:v>43811</c:v>
                </c:pt>
                <c:pt idx="348">
                  <c:v>43812</c:v>
                </c:pt>
                <c:pt idx="349">
                  <c:v>43813</c:v>
                </c:pt>
                <c:pt idx="350">
                  <c:v>43814</c:v>
                </c:pt>
                <c:pt idx="351">
                  <c:v>43815</c:v>
                </c:pt>
                <c:pt idx="352">
                  <c:v>43816</c:v>
                </c:pt>
                <c:pt idx="353">
                  <c:v>43817</c:v>
                </c:pt>
                <c:pt idx="354">
                  <c:v>43818</c:v>
                </c:pt>
                <c:pt idx="355">
                  <c:v>43819</c:v>
                </c:pt>
                <c:pt idx="356">
                  <c:v>43820</c:v>
                </c:pt>
                <c:pt idx="357">
                  <c:v>43821</c:v>
                </c:pt>
                <c:pt idx="358">
                  <c:v>43822</c:v>
                </c:pt>
                <c:pt idx="359">
                  <c:v>43823</c:v>
                </c:pt>
                <c:pt idx="360">
                  <c:v>43824</c:v>
                </c:pt>
                <c:pt idx="361">
                  <c:v>43825</c:v>
                </c:pt>
                <c:pt idx="362">
                  <c:v>43826</c:v>
                </c:pt>
                <c:pt idx="363">
                  <c:v>43827</c:v>
                </c:pt>
                <c:pt idx="364">
                  <c:v>43828</c:v>
                </c:pt>
                <c:pt idx="365">
                  <c:v>43829</c:v>
                </c:pt>
                <c:pt idx="366">
                  <c:v>43830</c:v>
                </c:pt>
                <c:pt idx="367">
                  <c:v>43461</c:v>
                </c:pt>
                <c:pt idx="368">
                  <c:v>43462</c:v>
                </c:pt>
                <c:pt idx="369">
                  <c:v>43463</c:v>
                </c:pt>
                <c:pt idx="370">
                  <c:v>43464</c:v>
                </c:pt>
                <c:pt idx="371">
                  <c:v>43465</c:v>
                </c:pt>
              </c:numCache>
            </c:numRef>
          </c:cat>
          <c:val>
            <c:numRef>
              <c:f>'Monthly Discharge'!$AH$3:$AH$374</c:f>
              <c:numCache>
                <c:formatCode>#,##0</c:formatCode>
                <c:ptCount val="372"/>
                <c:pt idx="0">
                  <c:v>1357</c:v>
                </c:pt>
                <c:pt idx="1">
                  <c:v>1360</c:v>
                </c:pt>
                <c:pt idx="2">
                  <c:v>1364</c:v>
                </c:pt>
                <c:pt idx="3">
                  <c:v>1368</c:v>
                </c:pt>
                <c:pt idx="4">
                  <c:v>1372</c:v>
                </c:pt>
                <c:pt idx="5">
                  <c:v>1378</c:v>
                </c:pt>
                <c:pt idx="6">
                  <c:v>1382</c:v>
                </c:pt>
                <c:pt idx="7">
                  <c:v>1384</c:v>
                </c:pt>
                <c:pt idx="8">
                  <c:v>1385</c:v>
                </c:pt>
                <c:pt idx="9">
                  <c:v>1389</c:v>
                </c:pt>
                <c:pt idx="10">
                  <c:v>1396</c:v>
                </c:pt>
                <c:pt idx="11">
                  <c:v>1411</c:v>
                </c:pt>
                <c:pt idx="12">
                  <c:v>1419</c:v>
                </c:pt>
                <c:pt idx="13">
                  <c:v>1424</c:v>
                </c:pt>
                <c:pt idx="14">
                  <c:v>1430</c:v>
                </c:pt>
                <c:pt idx="15">
                  <c:v>1442</c:v>
                </c:pt>
                <c:pt idx="16">
                  <c:v>1456</c:v>
                </c:pt>
                <c:pt idx="17">
                  <c:v>1469</c:v>
                </c:pt>
                <c:pt idx="18">
                  <c:v>1478</c:v>
                </c:pt>
                <c:pt idx="19">
                  <c:v>1490</c:v>
                </c:pt>
                <c:pt idx="20">
                  <c:v>1501</c:v>
                </c:pt>
                <c:pt idx="21">
                  <c:v>1513</c:v>
                </c:pt>
                <c:pt idx="22">
                  <c:v>1516</c:v>
                </c:pt>
                <c:pt idx="23">
                  <c:v>1517</c:v>
                </c:pt>
                <c:pt idx="26">
                  <c:v>1508</c:v>
                </c:pt>
                <c:pt idx="27">
                  <c:v>1500</c:v>
                </c:pt>
                <c:pt idx="28">
                  <c:v>1496</c:v>
                </c:pt>
                <c:pt idx="29">
                  <c:v>1491</c:v>
                </c:pt>
                <c:pt idx="30">
                  <c:v>1478</c:v>
                </c:pt>
                <c:pt idx="31">
                  <c:v>1457</c:v>
                </c:pt>
                <c:pt idx="32">
                  <c:v>1441</c:v>
                </c:pt>
                <c:pt idx="33">
                  <c:v>1422</c:v>
                </c:pt>
                <c:pt idx="34">
                  <c:v>1405</c:v>
                </c:pt>
                <c:pt idx="35">
                  <c:v>1388</c:v>
                </c:pt>
                <c:pt idx="36">
                  <c:v>1373</c:v>
                </c:pt>
                <c:pt idx="37">
                  <c:v>1355</c:v>
                </c:pt>
                <c:pt idx="38">
                  <c:v>1336</c:v>
                </c:pt>
                <c:pt idx="39">
                  <c:v>1331</c:v>
                </c:pt>
                <c:pt idx="40">
                  <c:v>1329</c:v>
                </c:pt>
                <c:pt idx="41">
                  <c:v>1331</c:v>
                </c:pt>
                <c:pt idx="42">
                  <c:v>1335</c:v>
                </c:pt>
                <c:pt idx="43">
                  <c:v>1335</c:v>
                </c:pt>
                <c:pt idx="44">
                  <c:v>1336</c:v>
                </c:pt>
                <c:pt idx="45">
                  <c:v>1343</c:v>
                </c:pt>
                <c:pt idx="46">
                  <c:v>1341</c:v>
                </c:pt>
                <c:pt idx="47">
                  <c:v>1339</c:v>
                </c:pt>
                <c:pt idx="48">
                  <c:v>1338</c:v>
                </c:pt>
                <c:pt idx="49">
                  <c:v>1335</c:v>
                </c:pt>
                <c:pt idx="50">
                  <c:v>1334</c:v>
                </c:pt>
                <c:pt idx="51">
                  <c:v>1334</c:v>
                </c:pt>
                <c:pt idx="52">
                  <c:v>1330</c:v>
                </c:pt>
                <c:pt idx="53">
                  <c:v>1327</c:v>
                </c:pt>
                <c:pt idx="54">
                  <c:v>1325</c:v>
                </c:pt>
                <c:pt idx="55">
                  <c:v>1327</c:v>
                </c:pt>
                <c:pt idx="56">
                  <c:v>1326</c:v>
                </c:pt>
                <c:pt idx="57">
                  <c:v>1326</c:v>
                </c:pt>
                <c:pt idx="58">
                  <c:v>1328</c:v>
                </c:pt>
                <c:pt idx="59">
                  <c:v>1344</c:v>
                </c:pt>
                <c:pt idx="60">
                  <c:v>1363</c:v>
                </c:pt>
                <c:pt idx="61">
                  <c:v>1370</c:v>
                </c:pt>
                <c:pt idx="62">
                  <c:v>1375</c:v>
                </c:pt>
                <c:pt idx="63">
                  <c:v>1375</c:v>
                </c:pt>
                <c:pt idx="64">
                  <c:v>1374</c:v>
                </c:pt>
                <c:pt idx="65">
                  <c:v>1375</c:v>
                </c:pt>
                <c:pt idx="66">
                  <c:v>1377</c:v>
                </c:pt>
                <c:pt idx="67">
                  <c:v>1387</c:v>
                </c:pt>
                <c:pt idx="68">
                  <c:v>1409</c:v>
                </c:pt>
                <c:pt idx="69">
                  <c:v>1429</c:v>
                </c:pt>
                <c:pt idx="70">
                  <c:v>1436</c:v>
                </c:pt>
                <c:pt idx="71">
                  <c:v>1439</c:v>
                </c:pt>
                <c:pt idx="72">
                  <c:v>1443</c:v>
                </c:pt>
                <c:pt idx="73">
                  <c:v>1474</c:v>
                </c:pt>
                <c:pt idx="74">
                  <c:v>1528</c:v>
                </c:pt>
                <c:pt idx="75">
                  <c:v>1559</c:v>
                </c:pt>
                <c:pt idx="76">
                  <c:v>1581</c:v>
                </c:pt>
                <c:pt idx="77">
                  <c:v>1600</c:v>
                </c:pt>
                <c:pt idx="78">
                  <c:v>1616</c:v>
                </c:pt>
                <c:pt idx="79">
                  <c:v>1627</c:v>
                </c:pt>
                <c:pt idx="80">
                  <c:v>1624</c:v>
                </c:pt>
                <c:pt idx="81">
                  <c:v>1624</c:v>
                </c:pt>
                <c:pt idx="82">
                  <c:v>1627</c:v>
                </c:pt>
                <c:pt idx="83">
                  <c:v>1636</c:v>
                </c:pt>
                <c:pt idx="84">
                  <c:v>1650</c:v>
                </c:pt>
                <c:pt idx="85">
                  <c:v>1654</c:v>
                </c:pt>
                <c:pt idx="86">
                  <c:v>1629</c:v>
                </c:pt>
                <c:pt idx="87">
                  <c:v>1611</c:v>
                </c:pt>
                <c:pt idx="88">
                  <c:v>1607</c:v>
                </c:pt>
                <c:pt idx="89">
                  <c:v>1616</c:v>
                </c:pt>
                <c:pt idx="90">
                  <c:v>1589</c:v>
                </c:pt>
                <c:pt idx="91">
                  <c:v>1547</c:v>
                </c:pt>
                <c:pt idx="92">
                  <c:v>1476</c:v>
                </c:pt>
                <c:pt idx="93">
                  <c:v>1494</c:v>
                </c:pt>
                <c:pt idx="94">
                  <c:v>1483</c:v>
                </c:pt>
                <c:pt idx="95">
                  <c:v>1472</c:v>
                </c:pt>
                <c:pt idx="96">
                  <c:v>1467</c:v>
                </c:pt>
                <c:pt idx="97">
                  <c:v>1469</c:v>
                </c:pt>
                <c:pt idx="98">
                  <c:v>1476</c:v>
                </c:pt>
                <c:pt idx="99">
                  <c:v>1485</c:v>
                </c:pt>
                <c:pt idx="100">
                  <c:v>1494</c:v>
                </c:pt>
                <c:pt idx="101">
                  <c:v>1509</c:v>
                </c:pt>
                <c:pt idx="102">
                  <c:v>1539</c:v>
                </c:pt>
                <c:pt idx="103">
                  <c:v>1549</c:v>
                </c:pt>
                <c:pt idx="104">
                  <c:v>1556</c:v>
                </c:pt>
                <c:pt idx="105">
                  <c:v>1561</c:v>
                </c:pt>
                <c:pt idx="106">
                  <c:v>1575</c:v>
                </c:pt>
                <c:pt idx="107">
                  <c:v>1609</c:v>
                </c:pt>
                <c:pt idx="108">
                  <c:v>1646</c:v>
                </c:pt>
                <c:pt idx="109">
                  <c:v>1688</c:v>
                </c:pt>
                <c:pt idx="110">
                  <c:v>1728</c:v>
                </c:pt>
                <c:pt idx="111">
                  <c:v>1771</c:v>
                </c:pt>
                <c:pt idx="112">
                  <c:v>1823</c:v>
                </c:pt>
                <c:pt idx="113">
                  <c:v>1876</c:v>
                </c:pt>
                <c:pt idx="114">
                  <c:v>1930</c:v>
                </c:pt>
                <c:pt idx="115">
                  <c:v>1942</c:v>
                </c:pt>
                <c:pt idx="116">
                  <c:v>1887</c:v>
                </c:pt>
                <c:pt idx="117">
                  <c:v>1877</c:v>
                </c:pt>
                <c:pt idx="118">
                  <c:v>1878</c:v>
                </c:pt>
                <c:pt idx="119">
                  <c:v>1882</c:v>
                </c:pt>
                <c:pt idx="120">
                  <c:v>1882</c:v>
                </c:pt>
                <c:pt idx="121">
                  <c:v>1888</c:v>
                </c:pt>
                <c:pt idx="122">
                  <c:v>1891</c:v>
                </c:pt>
                <c:pt idx="123">
                  <c:v>1887</c:v>
                </c:pt>
                <c:pt idx="124">
                  <c:v>1881</c:v>
                </c:pt>
                <c:pt idx="125">
                  <c:v>1878</c:v>
                </c:pt>
                <c:pt idx="126">
                  <c:v>1876</c:v>
                </c:pt>
                <c:pt idx="127">
                  <c:v>1875</c:v>
                </c:pt>
                <c:pt idx="128">
                  <c:v>1879</c:v>
                </c:pt>
                <c:pt idx="129">
                  <c:v>1893</c:v>
                </c:pt>
                <c:pt idx="130">
                  <c:v>1912</c:v>
                </c:pt>
                <c:pt idx="131">
                  <c:v>1899</c:v>
                </c:pt>
                <c:pt idx="132">
                  <c:v>1901</c:v>
                </c:pt>
                <c:pt idx="133">
                  <c:v>1899</c:v>
                </c:pt>
                <c:pt idx="134">
                  <c:v>1898</c:v>
                </c:pt>
                <c:pt idx="135">
                  <c:v>1902</c:v>
                </c:pt>
                <c:pt idx="136">
                  <c:v>1909</c:v>
                </c:pt>
                <c:pt idx="137">
                  <c:v>1909</c:v>
                </c:pt>
                <c:pt idx="138">
                  <c:v>1909</c:v>
                </c:pt>
                <c:pt idx="139">
                  <c:v>1902</c:v>
                </c:pt>
                <c:pt idx="140">
                  <c:v>1895</c:v>
                </c:pt>
                <c:pt idx="141">
                  <c:v>1895</c:v>
                </c:pt>
                <c:pt idx="142">
                  <c:v>1910</c:v>
                </c:pt>
                <c:pt idx="143">
                  <c:v>1900</c:v>
                </c:pt>
                <c:pt idx="144">
                  <c:v>1893</c:v>
                </c:pt>
                <c:pt idx="145">
                  <c:v>1888</c:v>
                </c:pt>
                <c:pt idx="146">
                  <c:v>1888</c:v>
                </c:pt>
                <c:pt idx="147">
                  <c:v>1897</c:v>
                </c:pt>
                <c:pt idx="148">
                  <c:v>1916</c:v>
                </c:pt>
                <c:pt idx="149">
                  <c:v>1926</c:v>
                </c:pt>
                <c:pt idx="150">
                  <c:v>1923</c:v>
                </c:pt>
                <c:pt idx="151">
                  <c:v>1920</c:v>
                </c:pt>
                <c:pt idx="152">
                  <c:v>1917</c:v>
                </c:pt>
                <c:pt idx="153">
                  <c:v>1917</c:v>
                </c:pt>
                <c:pt idx="154">
                  <c:v>1922</c:v>
                </c:pt>
                <c:pt idx="155">
                  <c:v>1928</c:v>
                </c:pt>
                <c:pt idx="156">
                  <c:v>1924</c:v>
                </c:pt>
                <c:pt idx="157">
                  <c:v>1923</c:v>
                </c:pt>
                <c:pt idx="158">
                  <c:v>1937</c:v>
                </c:pt>
                <c:pt idx="159">
                  <c:v>1939</c:v>
                </c:pt>
                <c:pt idx="160">
                  <c:v>1938</c:v>
                </c:pt>
                <c:pt idx="161">
                  <c:v>1938</c:v>
                </c:pt>
                <c:pt idx="162">
                  <c:v>1939</c:v>
                </c:pt>
                <c:pt idx="163">
                  <c:v>1929</c:v>
                </c:pt>
                <c:pt idx="164">
                  <c:v>1922</c:v>
                </c:pt>
                <c:pt idx="165">
                  <c:v>1921</c:v>
                </c:pt>
                <c:pt idx="166">
                  <c:v>1924</c:v>
                </c:pt>
                <c:pt idx="167">
                  <c:v>1925</c:v>
                </c:pt>
                <c:pt idx="168">
                  <c:v>1931</c:v>
                </c:pt>
                <c:pt idx="169">
                  <c:v>1936</c:v>
                </c:pt>
                <c:pt idx="170">
                  <c:v>1946</c:v>
                </c:pt>
                <c:pt idx="171">
                  <c:v>1943</c:v>
                </c:pt>
                <c:pt idx="172">
                  <c:v>1934</c:v>
                </c:pt>
                <c:pt idx="173">
                  <c:v>1931</c:v>
                </c:pt>
                <c:pt idx="174">
                  <c:v>1954</c:v>
                </c:pt>
                <c:pt idx="175">
                  <c:v>1965</c:v>
                </c:pt>
                <c:pt idx="176">
                  <c:v>1947</c:v>
                </c:pt>
                <c:pt idx="177">
                  <c:v>1935</c:v>
                </c:pt>
                <c:pt idx="178">
                  <c:v>1928</c:v>
                </c:pt>
                <c:pt idx="179">
                  <c:v>1921</c:v>
                </c:pt>
                <c:pt idx="180">
                  <c:v>1916</c:v>
                </c:pt>
                <c:pt idx="181">
                  <c:v>1912</c:v>
                </c:pt>
                <c:pt idx="182">
                  <c:v>1916</c:v>
                </c:pt>
                <c:pt idx="183">
                  <c:v>1929</c:v>
                </c:pt>
                <c:pt idx="184">
                  <c:v>1937</c:v>
                </c:pt>
                <c:pt idx="185">
                  <c:v>1934</c:v>
                </c:pt>
                <c:pt idx="186">
                  <c:v>1928</c:v>
                </c:pt>
                <c:pt idx="187">
                  <c:v>1924</c:v>
                </c:pt>
                <c:pt idx="188">
                  <c:v>1929</c:v>
                </c:pt>
                <c:pt idx="189">
                  <c:v>1925</c:v>
                </c:pt>
                <c:pt idx="190">
                  <c:v>1919</c:v>
                </c:pt>
                <c:pt idx="191">
                  <c:v>1914</c:v>
                </c:pt>
                <c:pt idx="192">
                  <c:v>1901</c:v>
                </c:pt>
                <c:pt idx="193">
                  <c:v>1896</c:v>
                </c:pt>
                <c:pt idx="194">
                  <c:v>1893</c:v>
                </c:pt>
                <c:pt idx="195">
                  <c:v>1889</c:v>
                </c:pt>
                <c:pt idx="196">
                  <c:v>1895</c:v>
                </c:pt>
                <c:pt idx="197">
                  <c:v>1907</c:v>
                </c:pt>
                <c:pt idx="198">
                  <c:v>1910</c:v>
                </c:pt>
                <c:pt idx="199">
                  <c:v>1903</c:v>
                </c:pt>
                <c:pt idx="200">
                  <c:v>1895</c:v>
                </c:pt>
                <c:pt idx="201">
                  <c:v>1888</c:v>
                </c:pt>
                <c:pt idx="202">
                  <c:v>1884</c:v>
                </c:pt>
                <c:pt idx="203">
                  <c:v>1895</c:v>
                </c:pt>
                <c:pt idx="204">
                  <c:v>1906</c:v>
                </c:pt>
                <c:pt idx="205">
                  <c:v>1897</c:v>
                </c:pt>
                <c:pt idx="206">
                  <c:v>1889</c:v>
                </c:pt>
                <c:pt idx="207">
                  <c:v>1884</c:v>
                </c:pt>
                <c:pt idx="208">
                  <c:v>1891</c:v>
                </c:pt>
                <c:pt idx="209">
                  <c:v>1890</c:v>
                </c:pt>
                <c:pt idx="210">
                  <c:v>1889</c:v>
                </c:pt>
                <c:pt idx="211">
                  <c:v>1883</c:v>
                </c:pt>
                <c:pt idx="212">
                  <c:v>1877</c:v>
                </c:pt>
                <c:pt idx="213">
                  <c:v>1875</c:v>
                </c:pt>
                <c:pt idx="214">
                  <c:v>1876</c:v>
                </c:pt>
                <c:pt idx="215">
                  <c:v>1886</c:v>
                </c:pt>
                <c:pt idx="216">
                  <c:v>1885</c:v>
                </c:pt>
                <c:pt idx="217">
                  <c:v>1880</c:v>
                </c:pt>
                <c:pt idx="218">
                  <c:v>1883</c:v>
                </c:pt>
                <c:pt idx="219">
                  <c:v>1881</c:v>
                </c:pt>
                <c:pt idx="220">
                  <c:v>1872</c:v>
                </c:pt>
                <c:pt idx="221">
                  <c:v>1868</c:v>
                </c:pt>
                <c:pt idx="222">
                  <c:v>1887</c:v>
                </c:pt>
                <c:pt idx="223">
                  <c:v>1884</c:v>
                </c:pt>
                <c:pt idx="224">
                  <c:v>1877</c:v>
                </c:pt>
                <c:pt idx="225">
                  <c:v>1876</c:v>
                </c:pt>
                <c:pt idx="226">
                  <c:v>1869</c:v>
                </c:pt>
                <c:pt idx="227">
                  <c:v>1862</c:v>
                </c:pt>
                <c:pt idx="228">
                  <c:v>1859</c:v>
                </c:pt>
                <c:pt idx="229">
                  <c:v>1859</c:v>
                </c:pt>
                <c:pt idx="230">
                  <c:v>1859</c:v>
                </c:pt>
                <c:pt idx="231">
                  <c:v>1857</c:v>
                </c:pt>
                <c:pt idx="232">
                  <c:v>1855</c:v>
                </c:pt>
                <c:pt idx="233">
                  <c:v>1851</c:v>
                </c:pt>
                <c:pt idx="234">
                  <c:v>1852</c:v>
                </c:pt>
                <c:pt idx="235">
                  <c:v>1867</c:v>
                </c:pt>
                <c:pt idx="236">
                  <c:v>1882</c:v>
                </c:pt>
                <c:pt idx="237">
                  <c:v>1877</c:v>
                </c:pt>
                <c:pt idx="238">
                  <c:v>1870</c:v>
                </c:pt>
                <c:pt idx="239">
                  <c:v>1854</c:v>
                </c:pt>
                <c:pt idx="240">
                  <c:v>1840</c:v>
                </c:pt>
                <c:pt idx="241">
                  <c:v>1827</c:v>
                </c:pt>
                <c:pt idx="242">
                  <c:v>1810</c:v>
                </c:pt>
                <c:pt idx="243">
                  <c:v>1794</c:v>
                </c:pt>
                <c:pt idx="244">
                  <c:v>1789</c:v>
                </c:pt>
                <c:pt idx="245">
                  <c:v>1782</c:v>
                </c:pt>
                <c:pt idx="246">
                  <c:v>1771</c:v>
                </c:pt>
                <c:pt idx="247">
                  <c:v>1758</c:v>
                </c:pt>
                <c:pt idx="248">
                  <c:v>1744</c:v>
                </c:pt>
                <c:pt idx="249">
                  <c:v>1732</c:v>
                </c:pt>
                <c:pt idx="250">
                  <c:v>1721</c:v>
                </c:pt>
                <c:pt idx="251">
                  <c:v>1730</c:v>
                </c:pt>
                <c:pt idx="252">
                  <c:v>1727</c:v>
                </c:pt>
                <c:pt idx="253">
                  <c:v>1736</c:v>
                </c:pt>
                <c:pt idx="254">
                  <c:v>1743</c:v>
                </c:pt>
                <c:pt idx="255">
                  <c:v>1734</c:v>
                </c:pt>
                <c:pt idx="256">
                  <c:v>1721</c:v>
                </c:pt>
                <c:pt idx="257">
                  <c:v>1711</c:v>
                </c:pt>
                <c:pt idx="258">
                  <c:v>1711</c:v>
                </c:pt>
                <c:pt idx="259">
                  <c:v>1713</c:v>
                </c:pt>
                <c:pt idx="260">
                  <c:v>1715</c:v>
                </c:pt>
                <c:pt idx="261">
                  <c:v>1710</c:v>
                </c:pt>
                <c:pt idx="262">
                  <c:v>1704</c:v>
                </c:pt>
                <c:pt idx="263">
                  <c:v>1699</c:v>
                </c:pt>
                <c:pt idx="264">
                  <c:v>1690</c:v>
                </c:pt>
                <c:pt idx="265">
                  <c:v>1682</c:v>
                </c:pt>
                <c:pt idx="266">
                  <c:v>1674</c:v>
                </c:pt>
                <c:pt idx="267">
                  <c:v>1668</c:v>
                </c:pt>
                <c:pt idx="268">
                  <c:v>1661</c:v>
                </c:pt>
                <c:pt idx="269">
                  <c:v>1653</c:v>
                </c:pt>
                <c:pt idx="270">
                  <c:v>1649</c:v>
                </c:pt>
                <c:pt idx="271">
                  <c:v>1645</c:v>
                </c:pt>
                <c:pt idx="272">
                  <c:v>1637</c:v>
                </c:pt>
                <c:pt idx="273">
                  <c:v>1628</c:v>
                </c:pt>
                <c:pt idx="274">
                  <c:v>1619</c:v>
                </c:pt>
                <c:pt idx="275">
                  <c:v>1609</c:v>
                </c:pt>
                <c:pt idx="276">
                  <c:v>1602</c:v>
                </c:pt>
                <c:pt idx="277">
                  <c:v>1596</c:v>
                </c:pt>
                <c:pt idx="278">
                  <c:v>1590</c:v>
                </c:pt>
                <c:pt idx="279">
                  <c:v>1582</c:v>
                </c:pt>
                <c:pt idx="280">
                  <c:v>1572</c:v>
                </c:pt>
                <c:pt idx="281">
                  <c:v>1561</c:v>
                </c:pt>
                <c:pt idx="282">
                  <c:v>1551</c:v>
                </c:pt>
                <c:pt idx="283">
                  <c:v>1545</c:v>
                </c:pt>
                <c:pt idx="284">
                  <c:v>1544</c:v>
                </c:pt>
                <c:pt idx="285">
                  <c:v>1547</c:v>
                </c:pt>
                <c:pt idx="286">
                  <c:v>1545</c:v>
                </c:pt>
                <c:pt idx="287">
                  <c:v>1547</c:v>
                </c:pt>
                <c:pt idx="288">
                  <c:v>1554</c:v>
                </c:pt>
                <c:pt idx="289">
                  <c:v>1558</c:v>
                </c:pt>
                <c:pt idx="290">
                  <c:v>1562</c:v>
                </c:pt>
                <c:pt idx="291">
                  <c:v>1565</c:v>
                </c:pt>
                <c:pt idx="292">
                  <c:v>1567</c:v>
                </c:pt>
                <c:pt idx="293">
                  <c:v>1569</c:v>
                </c:pt>
                <c:pt idx="294">
                  <c:v>1570</c:v>
                </c:pt>
                <c:pt idx="295">
                  <c:v>1571</c:v>
                </c:pt>
                <c:pt idx="296">
                  <c:v>1569</c:v>
                </c:pt>
                <c:pt idx="297">
                  <c:v>1573</c:v>
                </c:pt>
                <c:pt idx="298">
                  <c:v>1610</c:v>
                </c:pt>
                <c:pt idx="299">
                  <c:v>1629</c:v>
                </c:pt>
                <c:pt idx="300">
                  <c:v>1646</c:v>
                </c:pt>
                <c:pt idx="301">
                  <c:v>1681</c:v>
                </c:pt>
                <c:pt idx="302">
                  <c:v>1709</c:v>
                </c:pt>
                <c:pt idx="303">
                  <c:v>1709</c:v>
                </c:pt>
                <c:pt idx="304">
                  <c:v>1681</c:v>
                </c:pt>
                <c:pt idx="305">
                  <c:v>1664</c:v>
                </c:pt>
                <c:pt idx="306">
                  <c:v>1645</c:v>
                </c:pt>
                <c:pt idx="307">
                  <c:v>1616</c:v>
                </c:pt>
                <c:pt idx="308">
                  <c:v>1577</c:v>
                </c:pt>
                <c:pt idx="309">
                  <c:v>1553</c:v>
                </c:pt>
                <c:pt idx="310">
                  <c:v>1567</c:v>
                </c:pt>
                <c:pt idx="311">
                  <c:v>1573</c:v>
                </c:pt>
                <c:pt idx="312">
                  <c:v>1577</c:v>
                </c:pt>
                <c:pt idx="313">
                  <c:v>1577</c:v>
                </c:pt>
                <c:pt idx="314">
                  <c:v>1578</c:v>
                </c:pt>
                <c:pt idx="315">
                  <c:v>1579</c:v>
                </c:pt>
                <c:pt idx="316">
                  <c:v>1578</c:v>
                </c:pt>
                <c:pt idx="317">
                  <c:v>1579</c:v>
                </c:pt>
                <c:pt idx="318">
                  <c:v>1574</c:v>
                </c:pt>
                <c:pt idx="319">
                  <c:v>1573</c:v>
                </c:pt>
                <c:pt idx="320">
                  <c:v>1568</c:v>
                </c:pt>
                <c:pt idx="321">
                  <c:v>1561</c:v>
                </c:pt>
                <c:pt idx="322">
                  <c:v>1557</c:v>
                </c:pt>
                <c:pt idx="323">
                  <c:v>1550</c:v>
                </c:pt>
                <c:pt idx="324">
                  <c:v>1547</c:v>
                </c:pt>
                <c:pt idx="325">
                  <c:v>1544</c:v>
                </c:pt>
                <c:pt idx="326">
                  <c:v>1545</c:v>
                </c:pt>
                <c:pt idx="327">
                  <c:v>1548</c:v>
                </c:pt>
                <c:pt idx="328">
                  <c:v>1549</c:v>
                </c:pt>
                <c:pt idx="329">
                  <c:v>1546</c:v>
                </c:pt>
                <c:pt idx="330">
                  <c:v>1549</c:v>
                </c:pt>
                <c:pt idx="331">
                  <c:v>1575</c:v>
                </c:pt>
                <c:pt idx="332">
                  <c:v>1588</c:v>
                </c:pt>
                <c:pt idx="333">
                  <c:v>1597</c:v>
                </c:pt>
                <c:pt idx="334">
                  <c:v>1623</c:v>
                </c:pt>
                <c:pt idx="335">
                  <c:v>1657</c:v>
                </c:pt>
                <c:pt idx="336">
                  <c:v>1679</c:v>
                </c:pt>
                <c:pt idx="337">
                  <c:v>1700</c:v>
                </c:pt>
                <c:pt idx="338">
                  <c:v>1725</c:v>
                </c:pt>
                <c:pt idx="339">
                  <c:v>1752</c:v>
                </c:pt>
                <c:pt idx="340">
                  <c:v>1774</c:v>
                </c:pt>
                <c:pt idx="341">
                  <c:v>1797</c:v>
                </c:pt>
                <c:pt idx="342">
                  <c:v>1817</c:v>
                </c:pt>
                <c:pt idx="343">
                  <c:v>1836</c:v>
                </c:pt>
                <c:pt idx="344">
                  <c:v>1852</c:v>
                </c:pt>
                <c:pt idx="345">
                  <c:v>1845</c:v>
                </c:pt>
                <c:pt idx="346">
                  <c:v>1833</c:v>
                </c:pt>
                <c:pt idx="347">
                  <c:v>1825</c:v>
                </c:pt>
                <c:pt idx="348">
                  <c:v>1819</c:v>
                </c:pt>
                <c:pt idx="349">
                  <c:v>1809</c:v>
                </c:pt>
                <c:pt idx="350">
                  <c:v>1799</c:v>
                </c:pt>
                <c:pt idx="351">
                  <c:v>1789</c:v>
                </c:pt>
                <c:pt idx="352">
                  <c:v>1770</c:v>
                </c:pt>
                <c:pt idx="353">
                  <c:v>1752</c:v>
                </c:pt>
                <c:pt idx="354">
                  <c:v>1759</c:v>
                </c:pt>
                <c:pt idx="355">
                  <c:v>1775</c:v>
                </c:pt>
                <c:pt idx="356">
                  <c:v>1792</c:v>
                </c:pt>
                <c:pt idx="357">
                  <c:v>1812</c:v>
                </c:pt>
                <c:pt idx="358">
                  <c:v>1828</c:v>
                </c:pt>
                <c:pt idx="359">
                  <c:v>1829</c:v>
                </c:pt>
                <c:pt idx="360">
                  <c:v>1826</c:v>
                </c:pt>
                <c:pt idx="361">
                  <c:v>1818</c:v>
                </c:pt>
                <c:pt idx="362">
                  <c:v>1807</c:v>
                </c:pt>
                <c:pt idx="363">
                  <c:v>1804</c:v>
                </c:pt>
                <c:pt idx="364">
                  <c:v>1794</c:v>
                </c:pt>
                <c:pt idx="365">
                  <c:v>1777</c:v>
                </c:pt>
                <c:pt idx="366">
                  <c:v>1762</c:v>
                </c:pt>
                <c:pt idx="367">
                  <c:v>1332</c:v>
                </c:pt>
                <c:pt idx="368">
                  <c:v>1336</c:v>
                </c:pt>
                <c:pt idx="369">
                  <c:v>1338</c:v>
                </c:pt>
                <c:pt idx="370">
                  <c:v>1344</c:v>
                </c:pt>
                <c:pt idx="371">
                  <c:v>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64-44E6-89E6-E130FBC14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5"/>
        <c:overlap val="-40"/>
        <c:axId val="114059904"/>
        <c:axId val="114082176"/>
      </c:barChart>
      <c:dateAx>
        <c:axId val="11405990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m/d/yy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082176"/>
        <c:crosses val="autoZero"/>
        <c:auto val="1"/>
        <c:lblOffset val="100"/>
        <c:baseTimeUnit val="days"/>
      </c:dateAx>
      <c:valAx>
        <c:axId val="114082176"/>
        <c:scaling>
          <c:orientation val="minMax"/>
          <c:max val="2500"/>
          <c:min val="120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Acre-feet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059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Evergreen Keys on the Green Annual Ac-ft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Evergreen!$N$84</c:f>
              <c:strCache>
                <c:ptCount val="1"/>
                <c:pt idx="0">
                  <c:v>Annual Ac-ft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trendline>
            <c:spPr>
              <a:ln w="19050" cap="rnd">
                <a:solidFill>
                  <a:schemeClr val="accent1"/>
                </a:solidFill>
              </a:ln>
              <a:effectLst/>
            </c:spPr>
            <c:trendlineType val="linear"/>
            <c:dispRSqr val="0"/>
            <c:dispEq val="0"/>
          </c:trendline>
          <c:cat>
            <c:numRef>
              <c:f>Evergreen!$A$86:$A$120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Evergreen!$N$86:$N$120</c:f>
              <c:numCache>
                <c:formatCode>#,##0</c:formatCode>
                <c:ptCount val="35"/>
                <c:pt idx="0">
                  <c:v>33903.747600000002</c:v>
                </c:pt>
                <c:pt idx="1">
                  <c:v>28848.485700000005</c:v>
                </c:pt>
                <c:pt idx="2">
                  <c:v>45355.770900000003</c:v>
                </c:pt>
                <c:pt idx="3">
                  <c:v>27076.873500000002</c:v>
                </c:pt>
                <c:pt idx="4">
                  <c:v>22038.268800000005</c:v>
                </c:pt>
                <c:pt idx="5">
                  <c:v>25040.154029999998</c:v>
                </c:pt>
                <c:pt idx="6">
                  <c:v>30938.64702</c:v>
                </c:pt>
                <c:pt idx="7">
                  <c:v>22101.5265</c:v>
                </c:pt>
                <c:pt idx="8">
                  <c:v>16625.670300000005</c:v>
                </c:pt>
                <c:pt idx="9">
                  <c:v>17303.162250000001</c:v>
                </c:pt>
                <c:pt idx="10">
                  <c:v>48651.060810000003</c:v>
                </c:pt>
                <c:pt idx="11">
                  <c:v>21000.168300000001</c:v>
                </c:pt>
                <c:pt idx="12">
                  <c:v>37319.266800000005</c:v>
                </c:pt>
                <c:pt idx="13">
                  <c:v>49863.923100000007</c:v>
                </c:pt>
                <c:pt idx="14">
                  <c:v>45944.523599999993</c:v>
                </c:pt>
                <c:pt idx="15">
                  <c:v>16907.474430000002</c:v>
                </c:pt>
                <c:pt idx="16">
                  <c:v>18722.990249999999</c:v>
                </c:pt>
                <c:pt idx="17">
                  <c:v>6696.7099799999996</c:v>
                </c:pt>
                <c:pt idx="18">
                  <c:v>26157.019290000004</c:v>
                </c:pt>
                <c:pt idx="19">
                  <c:v>25548.773699999998</c:v>
                </c:pt>
                <c:pt idx="20">
                  <c:v>25747.866900000005</c:v>
                </c:pt>
                <c:pt idx="21">
                  <c:v>14734.284900000002</c:v>
                </c:pt>
                <c:pt idx="22">
                  <c:v>41259.289500000006</c:v>
                </c:pt>
                <c:pt idx="23">
                  <c:v>18053.8269</c:v>
                </c:pt>
                <c:pt idx="24">
                  <c:v>18108.161099999998</c:v>
                </c:pt>
                <c:pt idx="25">
                  <c:v>20432.098289999998</c:v>
                </c:pt>
                <c:pt idx="26">
                  <c:v>15053.091810000002</c:v>
                </c:pt>
                <c:pt idx="27">
                  <c:v>11229.431549999999</c:v>
                </c:pt>
                <c:pt idx="28">
                  <c:v>40271.894310000003</c:v>
                </c:pt>
                <c:pt idx="29">
                  <c:v>29024.972700000002</c:v>
                </c:pt>
                <c:pt idx="30">
                  <c:v>56503.40370000001</c:v>
                </c:pt>
                <c:pt idx="31">
                  <c:v>25426.620900000002</c:v>
                </c:pt>
                <c:pt idx="32">
                  <c:v>19855.243590000002</c:v>
                </c:pt>
                <c:pt idx="33">
                  <c:v>9977.2265399999997</c:v>
                </c:pt>
                <c:pt idx="34">
                  <c:v>18493.013810000004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2-49DC-B518-572E71106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313376680"/>
        <c:axId val="313377992"/>
      </c:barChart>
      <c:catAx>
        <c:axId val="313376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377992"/>
        <c:crosses val="autoZero"/>
        <c:auto val="1"/>
        <c:lblAlgn val="ctr"/>
        <c:lblOffset val="100"/>
        <c:noMultiLvlLbl val="0"/>
      </c:catAx>
      <c:valAx>
        <c:axId val="313377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376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Site 16a Turkey Creek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553149606299214E-2"/>
          <c:y val="0.17171296296296296"/>
          <c:w val="0.87030708661417333"/>
          <c:h val="0.68812481773111689"/>
        </c:manualLayout>
      </c:layout>
      <c:lineChart>
        <c:grouping val="standard"/>
        <c:varyColors val="0"/>
        <c:ser>
          <c:idx val="0"/>
          <c:order val="0"/>
          <c:tx>
            <c:strRef>
              <c:f>'Air Temp'!$B$10:$P$10</c:f>
              <c:strCache>
                <c:ptCount val="15"/>
                <c:pt idx="0">
                  <c:v>Water Temperature, oC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'Air Temp'!$B$2:$P$2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'Air Temp'!$B$12:$P$12</c:f>
              <c:numCache>
                <c:formatCode>#,##0.0</c:formatCode>
                <c:ptCount val="15"/>
                <c:pt idx="0">
                  <c:v>2.5</c:v>
                </c:pt>
                <c:pt idx="1">
                  <c:v>0.8</c:v>
                </c:pt>
                <c:pt idx="2">
                  <c:v>1.1000000000000001</c:v>
                </c:pt>
                <c:pt idx="3">
                  <c:v>5</c:v>
                </c:pt>
                <c:pt idx="4">
                  <c:v>9.4</c:v>
                </c:pt>
                <c:pt idx="5">
                  <c:v>9</c:v>
                </c:pt>
                <c:pt idx="6">
                  <c:v>15.1</c:v>
                </c:pt>
                <c:pt idx="7">
                  <c:v>15.5</c:v>
                </c:pt>
                <c:pt idx="8">
                  <c:v>16.399999999999999</c:v>
                </c:pt>
                <c:pt idx="9">
                  <c:v>15.5</c:v>
                </c:pt>
                <c:pt idx="10">
                  <c:v>14.5</c:v>
                </c:pt>
                <c:pt idx="11">
                  <c:v>19.8</c:v>
                </c:pt>
                <c:pt idx="12">
                  <c:v>7</c:v>
                </c:pt>
                <c:pt idx="13">
                  <c:v>3.1</c:v>
                </c:pt>
                <c:pt idx="14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B-45AF-B274-AC213093D7CE}"/>
            </c:ext>
          </c:extLst>
        </c:ser>
        <c:ser>
          <c:idx val="1"/>
          <c:order val="1"/>
          <c:tx>
            <c:strRef>
              <c:f>'Air Temp'!$B$1:$P$1</c:f>
              <c:strCache>
                <c:ptCount val="15"/>
                <c:pt idx="0">
                  <c:v>Air Temperature, oC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'Air Temp'!$B$2:$P$2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'Air Temp'!$B$4:$P$4</c:f>
              <c:numCache>
                <c:formatCode>#,##0.0</c:formatCode>
                <c:ptCount val="15"/>
                <c:pt idx="0">
                  <c:v>9.6999999999999993</c:v>
                </c:pt>
                <c:pt idx="1">
                  <c:v>5</c:v>
                </c:pt>
                <c:pt idx="2">
                  <c:v>10.6</c:v>
                </c:pt>
                <c:pt idx="3">
                  <c:v>20.7</c:v>
                </c:pt>
                <c:pt idx="4">
                  <c:v>20.100000000000001</c:v>
                </c:pt>
                <c:pt idx="5">
                  <c:v>20.5</c:v>
                </c:pt>
                <c:pt idx="6">
                  <c:v>27.5</c:v>
                </c:pt>
                <c:pt idx="7">
                  <c:v>28.2</c:v>
                </c:pt>
                <c:pt idx="8">
                  <c:v>28.2</c:v>
                </c:pt>
                <c:pt idx="9">
                  <c:v>28.8</c:v>
                </c:pt>
                <c:pt idx="10">
                  <c:v>21.8</c:v>
                </c:pt>
                <c:pt idx="11">
                  <c:v>24.2</c:v>
                </c:pt>
                <c:pt idx="12">
                  <c:v>16.600000000000001</c:v>
                </c:pt>
                <c:pt idx="13">
                  <c:v>11</c:v>
                </c:pt>
                <c:pt idx="14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B-45AF-B274-AC213093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239448"/>
        <c:axId val="622238792"/>
      </c:lineChart>
      <c:dateAx>
        <c:axId val="622239448"/>
        <c:scaling>
          <c:orientation val="minMax"/>
        </c:scaling>
        <c:delete val="0"/>
        <c:axPos val="b"/>
        <c:numFmt formatCode="[$-409]d\-mmm;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38792"/>
        <c:crosses val="autoZero"/>
        <c:auto val="1"/>
        <c:lblOffset val="100"/>
        <c:baseTimeUnit val="days"/>
      </c:dateAx>
      <c:valAx>
        <c:axId val="622238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2239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403521434820647"/>
          <c:y val="0.11615740740740743"/>
          <c:w val="0.69748512685914266"/>
          <c:h val="8.33339165937591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100"/>
              <a:t>Air vs Water Temperature at P-1 Sites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'Air Temp'!$B$4:$P$4</c:f>
              <c:strCache>
                <c:ptCount val="15"/>
                <c:pt idx="0">
                  <c:v>9.7</c:v>
                </c:pt>
                <c:pt idx="1">
                  <c:v>5.0</c:v>
                </c:pt>
                <c:pt idx="2">
                  <c:v>10.6</c:v>
                </c:pt>
                <c:pt idx="3">
                  <c:v>20.7</c:v>
                </c:pt>
                <c:pt idx="4">
                  <c:v>20.1</c:v>
                </c:pt>
                <c:pt idx="5">
                  <c:v>20.5</c:v>
                </c:pt>
                <c:pt idx="6">
                  <c:v>27.5</c:v>
                </c:pt>
                <c:pt idx="7">
                  <c:v>28.2</c:v>
                </c:pt>
                <c:pt idx="8">
                  <c:v>28.2</c:v>
                </c:pt>
                <c:pt idx="9">
                  <c:v>28.8</c:v>
                </c:pt>
                <c:pt idx="10">
                  <c:v>21.8</c:v>
                </c:pt>
                <c:pt idx="11">
                  <c:v>24.2</c:v>
                </c:pt>
                <c:pt idx="12">
                  <c:v>16.6</c:v>
                </c:pt>
                <c:pt idx="13">
                  <c:v>11.0</c:v>
                </c:pt>
                <c:pt idx="14">
                  <c:v>6.5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xVal>
            <c:numRef>
              <c:f>'Air Temp'!$B$4:$P$4</c:f>
              <c:numCache>
                <c:formatCode>#,##0.0</c:formatCode>
                <c:ptCount val="15"/>
                <c:pt idx="0">
                  <c:v>9.6999999999999993</c:v>
                </c:pt>
                <c:pt idx="1">
                  <c:v>5</c:v>
                </c:pt>
                <c:pt idx="2">
                  <c:v>10.6</c:v>
                </c:pt>
                <c:pt idx="3">
                  <c:v>20.7</c:v>
                </c:pt>
                <c:pt idx="4">
                  <c:v>20.100000000000001</c:v>
                </c:pt>
                <c:pt idx="5">
                  <c:v>20.5</c:v>
                </c:pt>
                <c:pt idx="6">
                  <c:v>27.5</c:v>
                </c:pt>
                <c:pt idx="7">
                  <c:v>28.2</c:v>
                </c:pt>
                <c:pt idx="8">
                  <c:v>28.2</c:v>
                </c:pt>
                <c:pt idx="9">
                  <c:v>28.8</c:v>
                </c:pt>
                <c:pt idx="10">
                  <c:v>21.8</c:v>
                </c:pt>
                <c:pt idx="11">
                  <c:v>24.2</c:v>
                </c:pt>
                <c:pt idx="12">
                  <c:v>16.600000000000001</c:v>
                </c:pt>
                <c:pt idx="13">
                  <c:v>11</c:v>
                </c:pt>
                <c:pt idx="14">
                  <c:v>6.5</c:v>
                </c:pt>
              </c:numCache>
            </c:numRef>
          </c:xVal>
          <c:yVal>
            <c:numRef>
              <c:f>'Air Temp'!$B$12:$P$12</c:f>
              <c:numCache>
                <c:formatCode>#,##0.0</c:formatCode>
                <c:ptCount val="15"/>
                <c:pt idx="0">
                  <c:v>2.5</c:v>
                </c:pt>
                <c:pt idx="1">
                  <c:v>0.8</c:v>
                </c:pt>
                <c:pt idx="2">
                  <c:v>1.1000000000000001</c:v>
                </c:pt>
                <c:pt idx="3">
                  <c:v>5</c:v>
                </c:pt>
                <c:pt idx="4">
                  <c:v>9.4</c:v>
                </c:pt>
                <c:pt idx="5">
                  <c:v>9</c:v>
                </c:pt>
                <c:pt idx="6">
                  <c:v>15.1</c:v>
                </c:pt>
                <c:pt idx="7">
                  <c:v>15.5</c:v>
                </c:pt>
                <c:pt idx="8">
                  <c:v>16.399999999999999</c:v>
                </c:pt>
                <c:pt idx="9">
                  <c:v>15.5</c:v>
                </c:pt>
                <c:pt idx="10">
                  <c:v>14.5</c:v>
                </c:pt>
                <c:pt idx="11">
                  <c:v>19.8</c:v>
                </c:pt>
                <c:pt idx="12">
                  <c:v>7</c:v>
                </c:pt>
                <c:pt idx="13">
                  <c:v>3.1</c:v>
                </c:pt>
                <c:pt idx="14">
                  <c:v>3.6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A35-4681-AA90-5F59D8F1281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trendline>
            <c:spPr>
              <a:ln w="19050" cap="rnd">
                <a:solidFill>
                  <a:schemeClr val="accent2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2176793525809274"/>
                  <c:y val="-0.1052843394575678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'Air Temp'!$B$5:$P$5</c:f>
              <c:numCache>
                <c:formatCode>#,##0.0</c:formatCode>
                <c:ptCount val="15"/>
                <c:pt idx="0">
                  <c:v>12.2</c:v>
                </c:pt>
                <c:pt idx="1">
                  <c:v>5.8</c:v>
                </c:pt>
                <c:pt idx="2">
                  <c:v>12.8</c:v>
                </c:pt>
                <c:pt idx="3">
                  <c:v>22.9</c:v>
                </c:pt>
                <c:pt idx="4">
                  <c:v>19.100000000000001</c:v>
                </c:pt>
                <c:pt idx="5">
                  <c:v>25.2</c:v>
                </c:pt>
                <c:pt idx="6">
                  <c:v>28.6</c:v>
                </c:pt>
                <c:pt idx="7">
                  <c:v>29.1</c:v>
                </c:pt>
                <c:pt idx="8">
                  <c:v>26.1</c:v>
                </c:pt>
                <c:pt idx="9">
                  <c:v>28.9</c:v>
                </c:pt>
                <c:pt idx="10">
                  <c:v>24.4</c:v>
                </c:pt>
                <c:pt idx="11">
                  <c:v>21.2</c:v>
                </c:pt>
                <c:pt idx="12">
                  <c:v>20.7</c:v>
                </c:pt>
                <c:pt idx="13">
                  <c:v>10.9</c:v>
                </c:pt>
                <c:pt idx="14">
                  <c:v>8</c:v>
                </c:pt>
              </c:numCache>
            </c:numRef>
          </c:xVal>
          <c:yVal>
            <c:numRef>
              <c:f>'Air Temp'!$B$13:$P$13</c:f>
              <c:numCache>
                <c:formatCode>#,##0.0</c:formatCode>
                <c:ptCount val="15"/>
                <c:pt idx="0">
                  <c:v>0.8</c:v>
                </c:pt>
                <c:pt idx="1">
                  <c:v>0.3</c:v>
                </c:pt>
                <c:pt idx="2">
                  <c:v>2.6</c:v>
                </c:pt>
                <c:pt idx="3">
                  <c:v>8.3000000000000007</c:v>
                </c:pt>
                <c:pt idx="4">
                  <c:v>10.8</c:v>
                </c:pt>
                <c:pt idx="5">
                  <c:v>10</c:v>
                </c:pt>
                <c:pt idx="6">
                  <c:v>15.4</c:v>
                </c:pt>
                <c:pt idx="7">
                  <c:v>15.7</c:v>
                </c:pt>
                <c:pt idx="8">
                  <c:v>17.3</c:v>
                </c:pt>
                <c:pt idx="9">
                  <c:v>16.100000000000001</c:v>
                </c:pt>
                <c:pt idx="10">
                  <c:v>14.7</c:v>
                </c:pt>
                <c:pt idx="11">
                  <c:v>13.4</c:v>
                </c:pt>
                <c:pt idx="12">
                  <c:v>4.8</c:v>
                </c:pt>
                <c:pt idx="13">
                  <c:v>2.4</c:v>
                </c:pt>
                <c:pt idx="14">
                  <c:v>3.4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A35-4681-AA90-5F59D8F1281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trendline>
            <c:spPr>
              <a:ln w="19050" cap="rnd">
                <a:solidFill>
                  <a:schemeClr val="accent3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xVal>
            <c:numRef>
              <c:f>'Air Temp'!$B$6:$P$6</c:f>
              <c:numCache>
                <c:formatCode>#,##0.0</c:formatCode>
                <c:ptCount val="15"/>
                <c:pt idx="0">
                  <c:v>12</c:v>
                </c:pt>
                <c:pt idx="1">
                  <c:v>5.3</c:v>
                </c:pt>
                <c:pt idx="2">
                  <c:v>16.100000000000001</c:v>
                </c:pt>
                <c:pt idx="3">
                  <c:v>23.5</c:v>
                </c:pt>
                <c:pt idx="4">
                  <c:v>19.7</c:v>
                </c:pt>
                <c:pt idx="5">
                  <c:v>36.4</c:v>
                </c:pt>
                <c:pt idx="6">
                  <c:v>36.200000000000003</c:v>
                </c:pt>
                <c:pt idx="7">
                  <c:v>36.9</c:v>
                </c:pt>
                <c:pt idx="8">
                  <c:v>35.299999999999997</c:v>
                </c:pt>
                <c:pt idx="9">
                  <c:v>30.8</c:v>
                </c:pt>
                <c:pt idx="10">
                  <c:v>34.5</c:v>
                </c:pt>
                <c:pt idx="11">
                  <c:v>32.200000000000003</c:v>
                </c:pt>
                <c:pt idx="12">
                  <c:v>26.8</c:v>
                </c:pt>
                <c:pt idx="13">
                  <c:v>13</c:v>
                </c:pt>
                <c:pt idx="14">
                  <c:v>8</c:v>
                </c:pt>
              </c:numCache>
            </c:numRef>
          </c:xVal>
          <c:yVal>
            <c:numRef>
              <c:f>'Air Temp'!$B$14:$P$14</c:f>
              <c:numCache>
                <c:formatCode>#,##0.0</c:formatCode>
                <c:ptCount val="15"/>
                <c:pt idx="0">
                  <c:v>4.5</c:v>
                </c:pt>
                <c:pt idx="1">
                  <c:v>4.5</c:v>
                </c:pt>
                <c:pt idx="2">
                  <c:v>6</c:v>
                </c:pt>
                <c:pt idx="3">
                  <c:v>14.7</c:v>
                </c:pt>
                <c:pt idx="4">
                  <c:v>13</c:v>
                </c:pt>
                <c:pt idx="5">
                  <c:v>15.9</c:v>
                </c:pt>
                <c:pt idx="6">
                  <c:v>20.100000000000001</c:v>
                </c:pt>
                <c:pt idx="7">
                  <c:v>21.4</c:v>
                </c:pt>
                <c:pt idx="8">
                  <c:v>22.2</c:v>
                </c:pt>
                <c:pt idx="9">
                  <c:v>23.6</c:v>
                </c:pt>
                <c:pt idx="10">
                  <c:v>21.4</c:v>
                </c:pt>
                <c:pt idx="11">
                  <c:v>20.5</c:v>
                </c:pt>
                <c:pt idx="12">
                  <c:v>13.9</c:v>
                </c:pt>
                <c:pt idx="13">
                  <c:v>6.9</c:v>
                </c:pt>
                <c:pt idx="14">
                  <c:v>3.6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4A35-4681-AA90-5F59D8F1281D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 cap="rnd">
                <a:solidFill>
                  <a:schemeClr val="accent4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trendline>
            <c:spPr>
              <a:ln w="19050" cap="rnd">
                <a:solidFill>
                  <a:schemeClr val="accent4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xVal>
            <c:numRef>
              <c:f>'Air Temp'!$B$7:$P$7</c:f>
              <c:numCache>
                <c:formatCode>#,##0.0</c:formatCode>
                <c:ptCount val="15"/>
                <c:pt idx="0">
                  <c:v>13.6</c:v>
                </c:pt>
                <c:pt idx="1">
                  <c:v>5.2</c:v>
                </c:pt>
                <c:pt idx="2">
                  <c:v>17.7</c:v>
                </c:pt>
                <c:pt idx="3">
                  <c:v>26.8</c:v>
                </c:pt>
                <c:pt idx="4">
                  <c:v>20.2</c:v>
                </c:pt>
                <c:pt idx="5">
                  <c:v>34.6</c:v>
                </c:pt>
                <c:pt idx="6">
                  <c:v>32.700000000000003</c:v>
                </c:pt>
                <c:pt idx="7">
                  <c:v>39.700000000000003</c:v>
                </c:pt>
                <c:pt idx="8">
                  <c:v>38.700000000000003</c:v>
                </c:pt>
                <c:pt idx="9">
                  <c:v>35.200000000000003</c:v>
                </c:pt>
                <c:pt idx="10">
                  <c:v>32.5</c:v>
                </c:pt>
                <c:pt idx="11">
                  <c:v>34.200000000000003</c:v>
                </c:pt>
                <c:pt idx="12">
                  <c:v>25.9</c:v>
                </c:pt>
                <c:pt idx="13">
                  <c:v>16.399999999999999</c:v>
                </c:pt>
                <c:pt idx="14">
                  <c:v>7.5</c:v>
                </c:pt>
              </c:numCache>
            </c:numRef>
          </c:xVal>
          <c:yVal>
            <c:numRef>
              <c:f>'Air Temp'!$B$15:$P$15</c:f>
              <c:numCache>
                <c:formatCode>#,##0.0</c:formatCode>
                <c:ptCount val="15"/>
                <c:pt idx="0">
                  <c:v>2.6</c:v>
                </c:pt>
                <c:pt idx="1">
                  <c:v>2.2000000000000002</c:v>
                </c:pt>
                <c:pt idx="2">
                  <c:v>6.7</c:v>
                </c:pt>
                <c:pt idx="3">
                  <c:v>14.1</c:v>
                </c:pt>
                <c:pt idx="4">
                  <c:v>14.5</c:v>
                </c:pt>
                <c:pt idx="5">
                  <c:v>17.600000000000001</c:v>
                </c:pt>
                <c:pt idx="6">
                  <c:v>20.7</c:v>
                </c:pt>
                <c:pt idx="7">
                  <c:v>22.4</c:v>
                </c:pt>
                <c:pt idx="8">
                  <c:v>23.2</c:v>
                </c:pt>
                <c:pt idx="9">
                  <c:v>23.7</c:v>
                </c:pt>
                <c:pt idx="10">
                  <c:v>20.6</c:v>
                </c:pt>
                <c:pt idx="11">
                  <c:v>20.100000000000001</c:v>
                </c:pt>
                <c:pt idx="12">
                  <c:v>11.1</c:v>
                </c:pt>
                <c:pt idx="13">
                  <c:v>5.7</c:v>
                </c:pt>
                <c:pt idx="14">
                  <c:v>2.8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A35-4681-AA90-5F59D8F12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8765848"/>
        <c:axId val="568757648"/>
      </c:scatterChart>
      <c:valAx>
        <c:axId val="568765848"/>
        <c:scaling>
          <c:orientation val="minMax"/>
          <c:min val="-5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757648"/>
        <c:crossesAt val="-5"/>
        <c:crossBetween val="midCat"/>
      </c:valAx>
      <c:valAx>
        <c:axId val="56875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Water Temperature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765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vs Reservoir Temperature, </a:t>
            </a:r>
            <a:r>
              <a:rPr lang="en-US" baseline="30000"/>
              <a:t>o</a:t>
            </a:r>
            <a:r>
              <a:rPr lang="en-US"/>
              <a:t>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'Air Temp'!$B$1:$P$1</c:f>
              <c:strCache>
                <c:ptCount val="15"/>
                <c:pt idx="0">
                  <c:v>Air Temperature, oC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6.9317388306957134E-2"/>
                  <c:y val="-2.175816564596092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'Air Temp'!$B$8:$P$8</c:f>
              <c:numCache>
                <c:formatCode>#,##0.0</c:formatCode>
                <c:ptCount val="15"/>
                <c:pt idx="0">
                  <c:v>12.5</c:v>
                </c:pt>
                <c:pt idx="1">
                  <c:v>4.2</c:v>
                </c:pt>
                <c:pt idx="2">
                  <c:v>14.1</c:v>
                </c:pt>
                <c:pt idx="3">
                  <c:v>23.7</c:v>
                </c:pt>
                <c:pt idx="4">
                  <c:v>21.1</c:v>
                </c:pt>
                <c:pt idx="5">
                  <c:v>21.4</c:v>
                </c:pt>
                <c:pt idx="6">
                  <c:v>26</c:v>
                </c:pt>
                <c:pt idx="7">
                  <c:v>31</c:v>
                </c:pt>
                <c:pt idx="8">
                  <c:v>28.2</c:v>
                </c:pt>
                <c:pt idx="9">
                  <c:v>30.5</c:v>
                </c:pt>
                <c:pt idx="10">
                  <c:v>30.5</c:v>
                </c:pt>
                <c:pt idx="11">
                  <c:v>29.8</c:v>
                </c:pt>
                <c:pt idx="12">
                  <c:v>16.600000000000001</c:v>
                </c:pt>
                <c:pt idx="13">
                  <c:v>12.2</c:v>
                </c:pt>
                <c:pt idx="14">
                  <c:v>8.1</c:v>
                </c:pt>
              </c:numCache>
            </c:numRef>
          </c:xVal>
          <c:yVal>
            <c:numRef>
              <c:f>'Air Temp'!$B$17:$P$17</c:f>
              <c:numCache>
                <c:formatCode>#,##0.0</c:formatCode>
                <c:ptCount val="15"/>
                <c:pt idx="0">
                  <c:v>4.3</c:v>
                </c:pt>
                <c:pt idx="1">
                  <c:v>1.5</c:v>
                </c:pt>
                <c:pt idx="2">
                  <c:v>5</c:v>
                </c:pt>
                <c:pt idx="3">
                  <c:v>10.7</c:v>
                </c:pt>
                <c:pt idx="4">
                  <c:v>11.9</c:v>
                </c:pt>
                <c:pt idx="5">
                  <c:v>15</c:v>
                </c:pt>
                <c:pt idx="6">
                  <c:v>19.7</c:v>
                </c:pt>
                <c:pt idx="7">
                  <c:v>20.5</c:v>
                </c:pt>
                <c:pt idx="8">
                  <c:v>19.5</c:v>
                </c:pt>
                <c:pt idx="9">
                  <c:v>22.4</c:v>
                </c:pt>
                <c:pt idx="10">
                  <c:v>20.8</c:v>
                </c:pt>
                <c:pt idx="11">
                  <c:v>20.2</c:v>
                </c:pt>
                <c:pt idx="12">
                  <c:v>12.6</c:v>
                </c:pt>
                <c:pt idx="13">
                  <c:v>5.5</c:v>
                </c:pt>
                <c:pt idx="14">
                  <c:v>3.4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45-4684-BAE5-E68B2E9E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985728"/>
        <c:axId val="465980808"/>
      </c:scatterChart>
      <c:valAx>
        <c:axId val="465985728"/>
        <c:scaling>
          <c:orientation val="minMax"/>
          <c:max val="30"/>
          <c:min val="-5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980808"/>
        <c:crosses val="autoZero"/>
        <c:crossBetween val="midCat"/>
      </c:valAx>
      <c:valAx>
        <c:axId val="4659808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Reservoir at 1/2m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98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98756037848211"/>
          <c:y val="0.20875000000000005"/>
          <c:w val="0.81529411764705884"/>
          <c:h val="0.628364319043452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'Air Temp'!$A$7</c:f>
              <c:strCache>
                <c:ptCount val="1"/>
                <c:pt idx="0">
                  <c:v>90- Wadsworth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7946752514377429E-2"/>
                  <c:y val="-0.1752223680373286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'Air Temp'!$B$7:$P$7</c:f>
              <c:numCache>
                <c:formatCode>#,##0.0</c:formatCode>
                <c:ptCount val="15"/>
                <c:pt idx="0">
                  <c:v>13.6</c:v>
                </c:pt>
                <c:pt idx="1">
                  <c:v>5.2</c:v>
                </c:pt>
                <c:pt idx="2">
                  <c:v>17.7</c:v>
                </c:pt>
                <c:pt idx="3">
                  <c:v>26.8</c:v>
                </c:pt>
                <c:pt idx="4">
                  <c:v>20.2</c:v>
                </c:pt>
                <c:pt idx="5">
                  <c:v>34.6</c:v>
                </c:pt>
                <c:pt idx="6">
                  <c:v>32.700000000000003</c:v>
                </c:pt>
                <c:pt idx="7">
                  <c:v>39.700000000000003</c:v>
                </c:pt>
                <c:pt idx="8">
                  <c:v>38.700000000000003</c:v>
                </c:pt>
                <c:pt idx="9">
                  <c:v>35.200000000000003</c:v>
                </c:pt>
                <c:pt idx="10">
                  <c:v>32.5</c:v>
                </c:pt>
                <c:pt idx="11">
                  <c:v>34.200000000000003</c:v>
                </c:pt>
                <c:pt idx="12">
                  <c:v>25.9</c:v>
                </c:pt>
                <c:pt idx="13">
                  <c:v>16.399999999999999</c:v>
                </c:pt>
                <c:pt idx="14">
                  <c:v>7.5</c:v>
                </c:pt>
              </c:numCache>
            </c:numRef>
          </c:xVal>
          <c:yVal>
            <c:numRef>
              <c:f>'Air Temp'!$B$15:$P$15</c:f>
              <c:numCache>
                <c:formatCode>#,##0.0</c:formatCode>
                <c:ptCount val="15"/>
                <c:pt idx="0">
                  <c:v>2.6</c:v>
                </c:pt>
                <c:pt idx="1">
                  <c:v>2.2000000000000002</c:v>
                </c:pt>
                <c:pt idx="2">
                  <c:v>6.7</c:v>
                </c:pt>
                <c:pt idx="3">
                  <c:v>14.1</c:v>
                </c:pt>
                <c:pt idx="4">
                  <c:v>14.5</c:v>
                </c:pt>
                <c:pt idx="5">
                  <c:v>17.600000000000001</c:v>
                </c:pt>
                <c:pt idx="6">
                  <c:v>20.7</c:v>
                </c:pt>
                <c:pt idx="7">
                  <c:v>22.4</c:v>
                </c:pt>
                <c:pt idx="8">
                  <c:v>23.2</c:v>
                </c:pt>
                <c:pt idx="9">
                  <c:v>23.7</c:v>
                </c:pt>
                <c:pt idx="10">
                  <c:v>20.6</c:v>
                </c:pt>
                <c:pt idx="11">
                  <c:v>20.100000000000001</c:v>
                </c:pt>
                <c:pt idx="12">
                  <c:v>11.1</c:v>
                </c:pt>
                <c:pt idx="13">
                  <c:v>5.7</c:v>
                </c:pt>
                <c:pt idx="14">
                  <c:v>2.8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9E-4427-A1D8-7768661C1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798712"/>
        <c:axId val="455800024"/>
      </c:scatterChart>
      <c:valAx>
        <c:axId val="455798712"/>
        <c:scaling>
          <c:orientation val="minMax"/>
          <c:max val="40"/>
          <c:min val="-5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5800024"/>
        <c:crosses val="autoZero"/>
        <c:crossBetween val="midCat"/>
      </c:valAx>
      <c:valAx>
        <c:axId val="455800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Stream Temperature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5798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100"/>
              <a:t>Bear Creek Reservoir Total Nitrogen [ug/l] Trend</a:t>
            </a:r>
          </a:p>
        </c:rich>
      </c:tx>
      <c:layout>
        <c:manualLayout>
          <c:xMode val="edge"/>
          <c:yMode val="edge"/>
          <c:x val="0.23845367507199255"/>
          <c:y val="4.6321843861031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519114688128479E-2"/>
          <c:y val="0.13001712679211971"/>
          <c:w val="0.89738430583491047"/>
          <c:h val="0.692933492752530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'Annual Reservoir Trends'!$B$7</c:f>
              <c:strCache>
                <c:ptCount val="1"/>
                <c:pt idx="0">
                  <c:v>Top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'Annual Reservoir Trends'!$X$3:$AE$3</c:f>
              <c:numCache>
                <c:formatCode>0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'Annual Reservoir Trends'!$X$7:$AE$7</c:f>
              <c:numCache>
                <c:formatCode>0.0</c:formatCode>
                <c:ptCount val="8"/>
                <c:pt idx="0">
                  <c:v>491</c:v>
                </c:pt>
                <c:pt idx="1">
                  <c:v>782</c:v>
                </c:pt>
                <c:pt idx="2">
                  <c:v>677</c:v>
                </c:pt>
                <c:pt idx="3">
                  <c:v>926</c:v>
                </c:pt>
                <c:pt idx="4">
                  <c:v>759</c:v>
                </c:pt>
                <c:pt idx="5">
                  <c:v>746</c:v>
                </c:pt>
                <c:pt idx="6">
                  <c:v>800</c:v>
                </c:pt>
                <c:pt idx="7">
                  <c:v>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7-471E-A673-49DDFEFAC85F}"/>
            </c:ext>
          </c:extLst>
        </c:ser>
        <c:ser>
          <c:idx val="1"/>
          <c:order val="1"/>
          <c:tx>
            <c:strRef>
              <c:f>'Annual Reservoir Trends'!$B$8</c:f>
              <c:strCache>
                <c:ptCount val="1"/>
                <c:pt idx="0">
                  <c:v>Bottom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'Annual Reservoir Trends'!$X$3:$AE$3</c:f>
              <c:numCache>
                <c:formatCode>0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'Annual Reservoir Trends'!$X$8:$AE$8</c:f>
              <c:numCache>
                <c:formatCode>0.0</c:formatCode>
                <c:ptCount val="8"/>
                <c:pt idx="0">
                  <c:v>516</c:v>
                </c:pt>
                <c:pt idx="1">
                  <c:v>721</c:v>
                </c:pt>
                <c:pt idx="2">
                  <c:v>728</c:v>
                </c:pt>
                <c:pt idx="3">
                  <c:v>929</c:v>
                </c:pt>
                <c:pt idx="4">
                  <c:v>799</c:v>
                </c:pt>
                <c:pt idx="5">
                  <c:v>795</c:v>
                </c:pt>
                <c:pt idx="6">
                  <c:v>820</c:v>
                </c:pt>
                <c:pt idx="7">
                  <c:v>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7-471E-A673-49DDFEFAC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6258816"/>
        <c:axId val="106260352"/>
      </c:barChart>
      <c:catAx>
        <c:axId val="1062588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26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26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258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2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BCRTemperature Average 1/2-2 Meters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 Temperature'!$A$8</c:f>
              <c:strCache>
                <c:ptCount val="1"/>
                <c:pt idx="0">
                  <c:v>Site 40 Central Pool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'W Temperature'!$B$2:$P$2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'W Temperature'!$B$24:$P$24</c:f>
              <c:numCache>
                <c:formatCode>0.00</c:formatCode>
                <c:ptCount val="15"/>
                <c:pt idx="0">
                  <c:v>3.7749999999999995</c:v>
                </c:pt>
                <c:pt idx="1">
                  <c:v>2.6749999999999998</c:v>
                </c:pt>
                <c:pt idx="2">
                  <c:v>4.875</c:v>
                </c:pt>
                <c:pt idx="3">
                  <c:v>10.099999999999998</c:v>
                </c:pt>
                <c:pt idx="4">
                  <c:v>11.925000000000001</c:v>
                </c:pt>
                <c:pt idx="5">
                  <c:v>14.925000000000001</c:v>
                </c:pt>
                <c:pt idx="6">
                  <c:v>19.7</c:v>
                </c:pt>
                <c:pt idx="7">
                  <c:v>20.25</c:v>
                </c:pt>
                <c:pt idx="8">
                  <c:v>21.224999999999998</c:v>
                </c:pt>
                <c:pt idx="9">
                  <c:v>22.274999999999999</c:v>
                </c:pt>
                <c:pt idx="10">
                  <c:v>20.475000000000001</c:v>
                </c:pt>
                <c:pt idx="11">
                  <c:v>19.850000000000001</c:v>
                </c:pt>
                <c:pt idx="12">
                  <c:v>12.299999999999999</c:v>
                </c:pt>
                <c:pt idx="13">
                  <c:v>5.3500000000000005</c:v>
                </c:pt>
                <c:pt idx="14">
                  <c:v>3.375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4-44FF-8F99-D372F05DB07F}"/>
            </c:ext>
          </c:extLst>
        </c:ser>
        <c:ser>
          <c:idx val="1"/>
          <c:order val="1"/>
          <c:tx>
            <c:strRef>
              <c:f>'W Temperature'!$A$26</c:f>
              <c:strCache>
                <c:ptCount val="1"/>
                <c:pt idx="0">
                  <c:v>Site 41- BC Outlet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'W Temperature'!$B$2:$P$2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'W Temperature'!$B$24:$L$24</c:f>
              <c:numCache>
                <c:formatCode>0.00</c:formatCode>
                <c:ptCount val="11"/>
                <c:pt idx="0">
                  <c:v>3.7749999999999995</c:v>
                </c:pt>
                <c:pt idx="1">
                  <c:v>2.6749999999999998</c:v>
                </c:pt>
                <c:pt idx="2">
                  <c:v>4.875</c:v>
                </c:pt>
                <c:pt idx="3">
                  <c:v>10.099999999999998</c:v>
                </c:pt>
                <c:pt idx="4">
                  <c:v>11.925000000000001</c:v>
                </c:pt>
                <c:pt idx="5">
                  <c:v>14.925000000000001</c:v>
                </c:pt>
                <c:pt idx="6">
                  <c:v>19.7</c:v>
                </c:pt>
                <c:pt idx="7">
                  <c:v>20.25</c:v>
                </c:pt>
                <c:pt idx="8">
                  <c:v>21.224999999999998</c:v>
                </c:pt>
                <c:pt idx="9">
                  <c:v>22.274999999999999</c:v>
                </c:pt>
                <c:pt idx="10">
                  <c:v>20.475000000000001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B4-44FF-8F99-D372F05DB07F}"/>
            </c:ext>
          </c:extLst>
        </c:ser>
        <c:ser>
          <c:idx val="2"/>
          <c:order val="2"/>
          <c:tx>
            <c:strRef>
              <c:f>'W Temperature'!$A$41</c:f>
              <c:strCache>
                <c:ptCount val="1"/>
                <c:pt idx="0">
                  <c:v>Site 42 - South Dam</c:v>
                </c:pt>
              </c:strCache>
            </c:strRef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'W Temperature'!$B$2:$P$2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'W Temperature'!$B$51:$P$51</c:f>
              <c:numCache>
                <c:formatCode>0.00</c:formatCode>
                <c:ptCount val="15"/>
                <c:pt idx="1">
                  <c:v>2.65</c:v>
                </c:pt>
                <c:pt idx="2">
                  <c:v>5.0999999999999996</c:v>
                </c:pt>
                <c:pt idx="3">
                  <c:v>10.45</c:v>
                </c:pt>
                <c:pt idx="4">
                  <c:v>12.600000000000001</c:v>
                </c:pt>
                <c:pt idx="5">
                  <c:v>15.225000000000001</c:v>
                </c:pt>
                <c:pt idx="6">
                  <c:v>19.275000000000002</c:v>
                </c:pt>
                <c:pt idx="7">
                  <c:v>19.8</c:v>
                </c:pt>
                <c:pt idx="8">
                  <c:v>21.875</c:v>
                </c:pt>
                <c:pt idx="9">
                  <c:v>22.075000000000003</c:v>
                </c:pt>
                <c:pt idx="10">
                  <c:v>20.9</c:v>
                </c:pt>
                <c:pt idx="11">
                  <c:v>20.099999999999998</c:v>
                </c:pt>
                <c:pt idx="12">
                  <c:v>12.4</c:v>
                </c:pt>
                <c:pt idx="13">
                  <c:v>5.2999999999999989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B4-44FF-8F99-D372F05DB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45632"/>
        <c:axId val="114247168"/>
      </c:lineChart>
      <c:dateAx>
        <c:axId val="114245632"/>
        <c:scaling>
          <c:orientation val="minMax"/>
        </c:scaling>
        <c:delete val="0"/>
        <c:axPos val="b"/>
        <c:numFmt formatCode="[$-409]mmmmm;@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47168"/>
        <c:crosses val="autoZero"/>
        <c:auto val="1"/>
        <c:lblOffset val="100"/>
        <c:baseTimeUnit val="days"/>
        <c:majorUnit val="1"/>
        <c:majorTimeUnit val="months"/>
        <c:minorUnit val="15"/>
        <c:minorTimeUnit val="days"/>
      </c:dateAx>
      <c:valAx>
        <c:axId val="114247168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45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Trends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 Temperature'!$A$4</c:f>
              <c:strCache>
                <c:ptCount val="1"/>
                <c:pt idx="0">
                  <c:v>16a-Turkey Creek Inflow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'W Temperature'!$B$2:$P$2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'W Temperature'!$B$4:$P$4</c:f>
              <c:numCache>
                <c:formatCode>#,##0.0</c:formatCode>
                <c:ptCount val="15"/>
                <c:pt idx="0">
                  <c:v>2.5</c:v>
                </c:pt>
                <c:pt idx="1">
                  <c:v>0.8</c:v>
                </c:pt>
                <c:pt idx="2">
                  <c:v>1.1000000000000001</c:v>
                </c:pt>
                <c:pt idx="3">
                  <c:v>5</c:v>
                </c:pt>
                <c:pt idx="4">
                  <c:v>9.4</c:v>
                </c:pt>
                <c:pt idx="5">
                  <c:v>9</c:v>
                </c:pt>
                <c:pt idx="6">
                  <c:v>15.1</c:v>
                </c:pt>
                <c:pt idx="7">
                  <c:v>15.5</c:v>
                </c:pt>
                <c:pt idx="8">
                  <c:v>16.399999999999999</c:v>
                </c:pt>
                <c:pt idx="9">
                  <c:v>15.5</c:v>
                </c:pt>
                <c:pt idx="10">
                  <c:v>14.5</c:v>
                </c:pt>
                <c:pt idx="11">
                  <c:v>13.8</c:v>
                </c:pt>
                <c:pt idx="12">
                  <c:v>7</c:v>
                </c:pt>
                <c:pt idx="13">
                  <c:v>3.1</c:v>
                </c:pt>
                <c:pt idx="14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B-4D58-B7B5-35C3B7367F17}"/>
            </c:ext>
          </c:extLst>
        </c:ser>
        <c:ser>
          <c:idx val="1"/>
          <c:order val="1"/>
          <c:tx>
            <c:strRef>
              <c:f>'W Temperature'!$A$5</c:f>
              <c:strCache>
                <c:ptCount val="1"/>
                <c:pt idx="0">
                  <c:v>15a-Bear Creek Inflow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'W Temperature'!$B$2:$P$2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'W Temperature'!$B$5:$P$5</c:f>
              <c:numCache>
                <c:formatCode>#,##0.0</c:formatCode>
                <c:ptCount val="15"/>
                <c:pt idx="0">
                  <c:v>0.8</c:v>
                </c:pt>
                <c:pt idx="1">
                  <c:v>0.3</c:v>
                </c:pt>
                <c:pt idx="2">
                  <c:v>2.6</c:v>
                </c:pt>
                <c:pt idx="3">
                  <c:v>8.3000000000000007</c:v>
                </c:pt>
                <c:pt idx="4">
                  <c:v>10.8</c:v>
                </c:pt>
                <c:pt idx="5">
                  <c:v>10</c:v>
                </c:pt>
                <c:pt idx="6">
                  <c:v>15.4</c:v>
                </c:pt>
                <c:pt idx="7">
                  <c:v>15.7</c:v>
                </c:pt>
                <c:pt idx="8">
                  <c:v>17.3</c:v>
                </c:pt>
                <c:pt idx="9">
                  <c:v>16.100000000000001</c:v>
                </c:pt>
                <c:pt idx="10">
                  <c:v>14.7</c:v>
                </c:pt>
                <c:pt idx="11">
                  <c:v>13.4</c:v>
                </c:pt>
                <c:pt idx="12">
                  <c:v>4.8</c:v>
                </c:pt>
                <c:pt idx="13">
                  <c:v>2.4</c:v>
                </c:pt>
                <c:pt idx="14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B-4D58-B7B5-35C3B7367F17}"/>
            </c:ext>
          </c:extLst>
        </c:ser>
        <c:ser>
          <c:idx val="3"/>
          <c:order val="2"/>
          <c:tx>
            <c:strRef>
              <c:f>'W Temperature'!$A$25</c:f>
              <c:strCache>
                <c:ptCount val="1"/>
                <c:pt idx="0">
                  <c:v>BCR Site 40 Profile Average</c:v>
                </c:pt>
              </c:strCache>
            </c:strRef>
          </c:tx>
          <c:spPr>
            <a:ln w="22225" cap="rnd">
              <a:solidFill>
                <a:schemeClr val="accent4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'W Temperature'!$B$2:$P$2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'W Temperature'!$B$25:$O$25</c:f>
              <c:numCache>
                <c:formatCode>0.00</c:formatCode>
                <c:ptCount val="14"/>
                <c:pt idx="0">
                  <c:v>3.7833333333333332</c:v>
                </c:pt>
                <c:pt idx="1">
                  <c:v>3.3444444444444441</c:v>
                </c:pt>
                <c:pt idx="2">
                  <c:v>4.6071428571428585</c:v>
                </c:pt>
                <c:pt idx="3">
                  <c:v>8.5307692307692307</c:v>
                </c:pt>
                <c:pt idx="4">
                  <c:v>11.785714285714286</c:v>
                </c:pt>
                <c:pt idx="5">
                  <c:v>14.246666666666668</c:v>
                </c:pt>
                <c:pt idx="6">
                  <c:v>18.064285714285713</c:v>
                </c:pt>
                <c:pt idx="7">
                  <c:v>19.240000000000002</c:v>
                </c:pt>
                <c:pt idx="8">
                  <c:v>21.328571428571426</c:v>
                </c:pt>
                <c:pt idx="9">
                  <c:v>21.692857142857143</c:v>
                </c:pt>
                <c:pt idx="10">
                  <c:v>20.221428571428579</c:v>
                </c:pt>
                <c:pt idx="11">
                  <c:v>19.571428571428573</c:v>
                </c:pt>
                <c:pt idx="12">
                  <c:v>11.930769230769231</c:v>
                </c:pt>
                <c:pt idx="13">
                  <c:v>5.3230769230769219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2B-4D58-B7B5-35C3B7367F17}"/>
            </c:ext>
          </c:extLst>
        </c:ser>
        <c:ser>
          <c:idx val="2"/>
          <c:order val="3"/>
          <c:tx>
            <c:strRef>
              <c:f>'W Temperature'!$A$6</c:f>
              <c:strCache>
                <c:ptCount val="1"/>
                <c:pt idx="0">
                  <c:v>45-Bear Creek Discharge</c:v>
                </c:pt>
              </c:strCache>
            </c:strRef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'W Temperature'!$B$2:$P$2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'W Temperature'!$B$6:$P$6</c:f>
              <c:numCache>
                <c:formatCode>#,##0.0</c:formatCode>
                <c:ptCount val="15"/>
                <c:pt idx="0">
                  <c:v>4.5</c:v>
                </c:pt>
                <c:pt idx="1">
                  <c:v>4.5</c:v>
                </c:pt>
                <c:pt idx="2">
                  <c:v>6</c:v>
                </c:pt>
                <c:pt idx="3">
                  <c:v>14.7</c:v>
                </c:pt>
                <c:pt idx="4">
                  <c:v>13</c:v>
                </c:pt>
                <c:pt idx="5">
                  <c:v>15.9</c:v>
                </c:pt>
                <c:pt idx="6">
                  <c:v>20.100000000000001</c:v>
                </c:pt>
                <c:pt idx="7">
                  <c:v>21.4</c:v>
                </c:pt>
                <c:pt idx="8">
                  <c:v>22.2</c:v>
                </c:pt>
                <c:pt idx="9">
                  <c:v>23.6</c:v>
                </c:pt>
                <c:pt idx="10">
                  <c:v>21.4</c:v>
                </c:pt>
                <c:pt idx="11">
                  <c:v>20.5</c:v>
                </c:pt>
                <c:pt idx="12">
                  <c:v>13.9</c:v>
                </c:pt>
                <c:pt idx="13">
                  <c:v>6.9</c:v>
                </c:pt>
                <c:pt idx="14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2B-4D58-B7B5-35C3B7367F17}"/>
            </c:ext>
          </c:extLst>
        </c:ser>
        <c:ser>
          <c:idx val="4"/>
          <c:order val="4"/>
          <c:tx>
            <c:strRef>
              <c:f>'W Temperature'!$A$7</c:f>
              <c:strCache>
                <c:ptCount val="1"/>
                <c:pt idx="0">
                  <c:v>90- Wadsworth</c:v>
                </c:pt>
              </c:strCache>
            </c:strRef>
          </c:tx>
          <c:spPr>
            <a:ln w="22225" cap="rnd">
              <a:solidFill>
                <a:schemeClr val="accent5"/>
              </a:solidFill>
            </a:ln>
            <a:effectLst>
              <a:glow rad="139700">
                <a:schemeClr val="accent5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'W Temperature'!$B$2:$P$2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'W Temperature'!$B$7:$P$7</c:f>
              <c:numCache>
                <c:formatCode>#,##0.0</c:formatCode>
                <c:ptCount val="15"/>
                <c:pt idx="0">
                  <c:v>2.6</c:v>
                </c:pt>
                <c:pt idx="1">
                  <c:v>2.2000000000000002</c:v>
                </c:pt>
                <c:pt idx="2">
                  <c:v>6.7</c:v>
                </c:pt>
                <c:pt idx="3">
                  <c:v>14.1</c:v>
                </c:pt>
                <c:pt idx="4">
                  <c:v>14.5</c:v>
                </c:pt>
                <c:pt idx="5">
                  <c:v>17.600000000000001</c:v>
                </c:pt>
                <c:pt idx="6">
                  <c:v>20.7</c:v>
                </c:pt>
                <c:pt idx="7">
                  <c:v>22.4</c:v>
                </c:pt>
                <c:pt idx="8">
                  <c:v>23.2</c:v>
                </c:pt>
                <c:pt idx="9">
                  <c:v>23.7</c:v>
                </c:pt>
                <c:pt idx="10">
                  <c:v>20.6</c:v>
                </c:pt>
                <c:pt idx="11">
                  <c:v>20.100000000000001</c:v>
                </c:pt>
                <c:pt idx="12">
                  <c:v>11.1</c:v>
                </c:pt>
                <c:pt idx="13">
                  <c:v>5.7</c:v>
                </c:pt>
                <c:pt idx="14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9-4C13-A847-BAAB2C42B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94144"/>
        <c:axId val="114369664"/>
      </c:lineChart>
      <c:dateAx>
        <c:axId val="114294144"/>
        <c:scaling>
          <c:orientation val="minMax"/>
        </c:scaling>
        <c:delete val="0"/>
        <c:axPos val="b"/>
        <c:numFmt formatCode="[$-409]d\-mmm;@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69664"/>
        <c:crosses val="autoZero"/>
        <c:auto val="1"/>
        <c:lblOffset val="100"/>
        <c:baseTimeUnit val="days"/>
        <c:majorUnit val="30"/>
        <c:majorTimeUnit val="days"/>
      </c:dateAx>
      <c:valAx>
        <c:axId val="1143696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BCR Specific Conductance Average 1/2-2 meters </a:t>
            </a:r>
          </a:p>
        </c:rich>
      </c:tx>
      <c:layout>
        <c:manualLayout>
          <c:xMode val="edge"/>
          <c:yMode val="edge"/>
          <c:x val="0.27253815239736856"/>
          <c:y val="1.749525768310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Conductance!$A$8</c:f>
              <c:strCache>
                <c:ptCount val="1"/>
                <c:pt idx="0">
                  <c:v>Site 40 Central Pool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Conductance!$B$2:$P$2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Conductance!$B$23:$P$23</c:f>
              <c:numCache>
                <c:formatCode>0.0</c:formatCode>
                <c:ptCount val="15"/>
                <c:pt idx="0">
                  <c:v>722</c:v>
                </c:pt>
                <c:pt idx="1">
                  <c:v>716.5</c:v>
                </c:pt>
                <c:pt idx="2">
                  <c:v>863.75</c:v>
                </c:pt>
                <c:pt idx="3">
                  <c:v>887.5</c:v>
                </c:pt>
                <c:pt idx="4">
                  <c:v>720</c:v>
                </c:pt>
                <c:pt idx="5">
                  <c:v>431.375</c:v>
                </c:pt>
                <c:pt idx="6">
                  <c:v>239.12499999999997</c:v>
                </c:pt>
                <c:pt idx="7">
                  <c:v>236.32500000000002</c:v>
                </c:pt>
                <c:pt idx="8">
                  <c:v>242.60000000000002</c:v>
                </c:pt>
                <c:pt idx="9">
                  <c:v>255.7</c:v>
                </c:pt>
                <c:pt idx="10">
                  <c:v>287.85000000000002</c:v>
                </c:pt>
                <c:pt idx="11">
                  <c:v>295.27499999999998</c:v>
                </c:pt>
                <c:pt idx="12">
                  <c:v>325.77500000000003</c:v>
                </c:pt>
                <c:pt idx="13">
                  <c:v>474.77499999999998</c:v>
                </c:pt>
                <c:pt idx="14">
                  <c:v>568.75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C-4D69-ACE8-51068348639E}"/>
            </c:ext>
          </c:extLst>
        </c:ser>
        <c:ser>
          <c:idx val="1"/>
          <c:order val="1"/>
          <c:tx>
            <c:strRef>
              <c:f>Conductance!$A$25</c:f>
              <c:strCache>
                <c:ptCount val="1"/>
                <c:pt idx="0">
                  <c:v>Site 41- BC Outlet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Conductance!$B$2:$P$2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Conductance!$B$38:$P$38</c:f>
              <c:numCache>
                <c:formatCode>0.0</c:formatCode>
                <c:ptCount val="15"/>
                <c:pt idx="1">
                  <c:v>717.5</c:v>
                </c:pt>
                <c:pt idx="2">
                  <c:v>859.25</c:v>
                </c:pt>
                <c:pt idx="3">
                  <c:v>895.75</c:v>
                </c:pt>
                <c:pt idx="4">
                  <c:v>719.75</c:v>
                </c:pt>
                <c:pt idx="5">
                  <c:v>431.67499999999995</c:v>
                </c:pt>
                <c:pt idx="6">
                  <c:v>238.64999999999998</c:v>
                </c:pt>
                <c:pt idx="7">
                  <c:v>230.17500000000001</c:v>
                </c:pt>
                <c:pt idx="8">
                  <c:v>243.39999999999998</c:v>
                </c:pt>
                <c:pt idx="9">
                  <c:v>255.75</c:v>
                </c:pt>
                <c:pt idx="10">
                  <c:v>286.75</c:v>
                </c:pt>
                <c:pt idx="11">
                  <c:v>294.85000000000002</c:v>
                </c:pt>
                <c:pt idx="12">
                  <c:v>350.35</c:v>
                </c:pt>
                <c:pt idx="13">
                  <c:v>474.54999999999995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BC-4D69-ACE8-51068348639E}"/>
            </c:ext>
          </c:extLst>
        </c:ser>
        <c:ser>
          <c:idx val="2"/>
          <c:order val="2"/>
          <c:tx>
            <c:strRef>
              <c:f>Conductance!$A$40</c:f>
              <c:strCache>
                <c:ptCount val="1"/>
                <c:pt idx="0">
                  <c:v>Site 42 - South Dam</c:v>
                </c:pt>
              </c:strCache>
            </c:strRef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Conductance!$B$2:$P$2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Conductance!$B$50:$P$50</c:f>
              <c:numCache>
                <c:formatCode>0.0</c:formatCode>
                <c:ptCount val="15"/>
                <c:pt idx="1">
                  <c:v>723.75</c:v>
                </c:pt>
                <c:pt idx="2">
                  <c:v>891</c:v>
                </c:pt>
                <c:pt idx="3">
                  <c:v>887.5</c:v>
                </c:pt>
                <c:pt idx="4">
                  <c:v>723</c:v>
                </c:pt>
                <c:pt idx="5">
                  <c:v>434.07499999999999</c:v>
                </c:pt>
                <c:pt idx="6">
                  <c:v>239.05</c:v>
                </c:pt>
                <c:pt idx="7">
                  <c:v>226.1</c:v>
                </c:pt>
                <c:pt idx="8">
                  <c:v>243.22500000000002</c:v>
                </c:pt>
                <c:pt idx="9">
                  <c:v>256.77499999999998</c:v>
                </c:pt>
                <c:pt idx="10">
                  <c:v>287.5</c:v>
                </c:pt>
                <c:pt idx="11">
                  <c:v>294.17500000000001</c:v>
                </c:pt>
                <c:pt idx="12">
                  <c:v>351.97500000000002</c:v>
                </c:pt>
                <c:pt idx="13">
                  <c:v>473.17499999999995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C-4D69-ACE8-510683486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536832"/>
        <c:axId val="114538368"/>
      </c:lineChart>
      <c:dateAx>
        <c:axId val="114536832"/>
        <c:scaling>
          <c:orientation val="minMax"/>
        </c:scaling>
        <c:delete val="0"/>
        <c:axPos val="b"/>
        <c:numFmt formatCode="[$-409]d\-mmm;@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538368"/>
        <c:crosses val="autoZero"/>
        <c:auto val="1"/>
        <c:lblOffset val="100"/>
        <c:baseTimeUnit val="days"/>
        <c:majorUnit val="30"/>
        <c:majorTimeUnit val="days"/>
        <c:minorUnit val="15"/>
        <c:minorTimeUnit val="days"/>
      </c:dateAx>
      <c:valAx>
        <c:axId val="114538368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53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Watershed Specific Conductance Trends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642281031944691E-2"/>
          <c:y val="0.19550507455762639"/>
          <c:w val="0.91954891845512576"/>
          <c:h val="0.69732392037645252"/>
        </c:manualLayout>
      </c:layout>
      <c:lineChart>
        <c:grouping val="standard"/>
        <c:varyColors val="0"/>
        <c:ser>
          <c:idx val="1"/>
          <c:order val="0"/>
          <c:tx>
            <c:strRef>
              <c:f>Conductance!$A$4</c:f>
              <c:strCache>
                <c:ptCount val="1"/>
                <c:pt idx="0">
                  <c:v>16a-Turkey Creek Inflow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Conductance!$B$2:$P$2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Conductance!$B$4:$P$4</c:f>
              <c:numCache>
                <c:formatCode>0.0</c:formatCode>
                <c:ptCount val="15"/>
                <c:pt idx="0">
                  <c:v>2144</c:v>
                </c:pt>
                <c:pt idx="1">
                  <c:v>1703</c:v>
                </c:pt>
                <c:pt idx="2">
                  <c:v>1579</c:v>
                </c:pt>
                <c:pt idx="3">
                  <c:v>868</c:v>
                </c:pt>
                <c:pt idx="4">
                  <c:v>1321</c:v>
                </c:pt>
                <c:pt idx="5">
                  <c:v>782</c:v>
                </c:pt>
                <c:pt idx="6">
                  <c:v>1075</c:v>
                </c:pt>
                <c:pt idx="7">
                  <c:v>1497</c:v>
                </c:pt>
                <c:pt idx="8">
                  <c:v>1189</c:v>
                </c:pt>
                <c:pt idx="9">
                  <c:v>1398</c:v>
                </c:pt>
                <c:pt idx="10">
                  <c:v>1870</c:v>
                </c:pt>
                <c:pt idx="11">
                  <c:v>2104</c:v>
                </c:pt>
                <c:pt idx="12">
                  <c:v>2145</c:v>
                </c:pt>
                <c:pt idx="13">
                  <c:v>1557</c:v>
                </c:pt>
                <c:pt idx="14">
                  <c:v>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E-4B2E-9645-B75232296B87}"/>
            </c:ext>
          </c:extLst>
        </c:ser>
        <c:ser>
          <c:idx val="2"/>
          <c:order val="1"/>
          <c:tx>
            <c:strRef>
              <c:f>Conductance!$A$5</c:f>
              <c:strCache>
                <c:ptCount val="1"/>
                <c:pt idx="0">
                  <c:v>15a-Bear Creek Inflow</c:v>
                </c:pt>
              </c:strCache>
            </c:strRef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Conductance!$B$2:$P$2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Conductance!$B$5:$P$5</c:f>
              <c:numCache>
                <c:formatCode>0.0</c:formatCode>
                <c:ptCount val="15"/>
                <c:pt idx="0">
                  <c:v>504.1</c:v>
                </c:pt>
                <c:pt idx="1">
                  <c:v>472.4</c:v>
                </c:pt>
                <c:pt idx="2">
                  <c:v>604</c:v>
                </c:pt>
                <c:pt idx="3">
                  <c:v>459</c:v>
                </c:pt>
                <c:pt idx="4">
                  <c:v>361.8</c:v>
                </c:pt>
                <c:pt idx="5">
                  <c:v>166.4</c:v>
                </c:pt>
                <c:pt idx="6">
                  <c:v>144</c:v>
                </c:pt>
                <c:pt idx="7">
                  <c:v>130</c:v>
                </c:pt>
                <c:pt idx="8">
                  <c:v>179.5</c:v>
                </c:pt>
                <c:pt idx="9">
                  <c:v>172.7</c:v>
                </c:pt>
                <c:pt idx="10">
                  <c:v>213.5</c:v>
                </c:pt>
                <c:pt idx="11">
                  <c:v>226</c:v>
                </c:pt>
                <c:pt idx="12">
                  <c:v>256.2</c:v>
                </c:pt>
                <c:pt idx="13">
                  <c:v>332.5</c:v>
                </c:pt>
                <c:pt idx="14">
                  <c:v>468.8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E-4B2E-9645-B75232296B87}"/>
            </c:ext>
          </c:extLst>
        </c:ser>
        <c:ser>
          <c:idx val="3"/>
          <c:order val="2"/>
          <c:tx>
            <c:strRef>
              <c:f>Conductance!$A$24</c:f>
              <c:strCache>
                <c:ptCount val="1"/>
                <c:pt idx="0">
                  <c:v>BCR Site 40 Profile Average</c:v>
                </c:pt>
              </c:strCache>
            </c:strRef>
          </c:tx>
          <c:spPr>
            <a:ln w="22225" cap="rnd">
              <a:solidFill>
                <a:schemeClr val="accent4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Conductance!$B$2:$P$2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Conductance!$B$24:$P$24</c:f>
              <c:numCache>
                <c:formatCode>0.0</c:formatCode>
                <c:ptCount val="15"/>
                <c:pt idx="0">
                  <c:v>733</c:v>
                </c:pt>
                <c:pt idx="1">
                  <c:v>799.2</c:v>
                </c:pt>
                <c:pt idx="2">
                  <c:v>955.35714285714289</c:v>
                </c:pt>
                <c:pt idx="3">
                  <c:v>919.92307692307691</c:v>
                </c:pt>
                <c:pt idx="4">
                  <c:v>722.92857142857144</c:v>
                </c:pt>
                <c:pt idx="5">
                  <c:v>434.6571428571429</c:v>
                </c:pt>
                <c:pt idx="6">
                  <c:v>245.08571428571423</c:v>
                </c:pt>
                <c:pt idx="7">
                  <c:v>229.96428571428569</c:v>
                </c:pt>
                <c:pt idx="8">
                  <c:v>239.72857142857137</c:v>
                </c:pt>
                <c:pt idx="9">
                  <c:v>251.35714285714286</c:v>
                </c:pt>
                <c:pt idx="10">
                  <c:v>286.78571428571428</c:v>
                </c:pt>
                <c:pt idx="11">
                  <c:v>295.16428571428571</c:v>
                </c:pt>
                <c:pt idx="12">
                  <c:v>328.22307692307692</c:v>
                </c:pt>
                <c:pt idx="13">
                  <c:v>478.04285714285714</c:v>
                </c:pt>
                <c:pt idx="14">
                  <c:v>571.4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7E-4B2E-9645-B75232296B87}"/>
            </c:ext>
          </c:extLst>
        </c:ser>
        <c:ser>
          <c:idx val="0"/>
          <c:order val="3"/>
          <c:tx>
            <c:strRef>
              <c:f>Conductance!$A$6</c:f>
              <c:strCache>
                <c:ptCount val="1"/>
                <c:pt idx="0">
                  <c:v>45-Bear Creek Discharge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Conductance!$B$2:$P$2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Conductance!$B$6:$P$6</c:f>
              <c:numCache>
                <c:formatCode>0.0</c:formatCode>
                <c:ptCount val="15"/>
                <c:pt idx="0">
                  <c:v>753.2</c:v>
                </c:pt>
                <c:pt idx="1">
                  <c:v>794</c:v>
                </c:pt>
                <c:pt idx="2">
                  <c:v>857</c:v>
                </c:pt>
                <c:pt idx="3">
                  <c:v>893</c:v>
                </c:pt>
                <c:pt idx="4">
                  <c:v>720</c:v>
                </c:pt>
                <c:pt idx="5">
                  <c:v>433.6</c:v>
                </c:pt>
                <c:pt idx="6">
                  <c:v>245.8</c:v>
                </c:pt>
                <c:pt idx="7">
                  <c:v>234.2</c:v>
                </c:pt>
                <c:pt idx="8">
                  <c:v>253.5</c:v>
                </c:pt>
                <c:pt idx="9">
                  <c:v>262.8</c:v>
                </c:pt>
                <c:pt idx="10">
                  <c:v>291.7</c:v>
                </c:pt>
                <c:pt idx="11">
                  <c:v>302.60000000000002</c:v>
                </c:pt>
                <c:pt idx="12">
                  <c:v>366.1</c:v>
                </c:pt>
                <c:pt idx="13">
                  <c:v>478.7</c:v>
                </c:pt>
                <c:pt idx="14">
                  <c:v>546.6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E-4B2E-9645-B75232296B87}"/>
            </c:ext>
          </c:extLst>
        </c:ser>
        <c:ser>
          <c:idx val="4"/>
          <c:order val="4"/>
          <c:tx>
            <c:strRef>
              <c:f>Conductance!$A$7</c:f>
              <c:strCache>
                <c:ptCount val="1"/>
                <c:pt idx="0">
                  <c:v>90-Wadsworth</c:v>
                </c:pt>
              </c:strCache>
            </c:strRef>
          </c:tx>
          <c:spPr>
            <a:ln w="22225" cap="rnd">
              <a:solidFill>
                <a:schemeClr val="accent5"/>
              </a:solidFill>
            </a:ln>
            <a:effectLst>
              <a:glow rad="139700">
                <a:schemeClr val="accent5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Conductance!$B$2:$P$2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Conductance!$B$7:$P$7</c:f>
              <c:numCache>
                <c:formatCode>0.0</c:formatCode>
                <c:ptCount val="15"/>
                <c:pt idx="0">
                  <c:v>935</c:v>
                </c:pt>
                <c:pt idx="1">
                  <c:v>942</c:v>
                </c:pt>
                <c:pt idx="2">
                  <c:v>970</c:v>
                </c:pt>
                <c:pt idx="3">
                  <c:v>962</c:v>
                </c:pt>
                <c:pt idx="4">
                  <c:v>787</c:v>
                </c:pt>
                <c:pt idx="5">
                  <c:v>407.8</c:v>
                </c:pt>
                <c:pt idx="6">
                  <c:v>283.7</c:v>
                </c:pt>
                <c:pt idx="7">
                  <c:v>288.8</c:v>
                </c:pt>
                <c:pt idx="8">
                  <c:v>321.10000000000002</c:v>
                </c:pt>
                <c:pt idx="9">
                  <c:v>352.3</c:v>
                </c:pt>
                <c:pt idx="10">
                  <c:v>443.9</c:v>
                </c:pt>
                <c:pt idx="11">
                  <c:v>570</c:v>
                </c:pt>
                <c:pt idx="12">
                  <c:v>576</c:v>
                </c:pt>
                <c:pt idx="13">
                  <c:v>734.9</c:v>
                </c:pt>
                <c:pt idx="14">
                  <c:v>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4-4F20-A8C9-F800027CA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470912"/>
        <c:axId val="114472448"/>
      </c:lineChart>
      <c:dateAx>
        <c:axId val="114470912"/>
        <c:scaling>
          <c:orientation val="minMax"/>
        </c:scaling>
        <c:delete val="0"/>
        <c:axPos val="b"/>
        <c:numFmt formatCode="[$-409]d\-mmm;@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72448"/>
        <c:crosses val="autoZero"/>
        <c:auto val="1"/>
        <c:lblOffset val="100"/>
        <c:baseTimeUnit val="days"/>
        <c:majorUnit val="31"/>
        <c:majorTimeUnit val="days"/>
        <c:minorUnit val="1"/>
        <c:minorTimeUnit val="days"/>
      </c:dateAx>
      <c:valAx>
        <c:axId val="1144724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70912"/>
        <c:crossesAt val="42744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2" verticalDpi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Bear Creek Watershed pH Trends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pH!$A$4</c:f>
              <c:strCache>
                <c:ptCount val="1"/>
                <c:pt idx="0">
                  <c:v>16a-Turkey Creek Inflow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pH!$B$2:$P$2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pH!$B$4:$P$4</c:f>
              <c:numCache>
                <c:formatCode>0.00</c:formatCode>
                <c:ptCount val="15"/>
                <c:pt idx="0">
                  <c:v>8.2799999999999994</c:v>
                </c:pt>
                <c:pt idx="1">
                  <c:v>8.1199999999999992</c:v>
                </c:pt>
                <c:pt idx="2">
                  <c:v>8.23</c:v>
                </c:pt>
                <c:pt idx="3">
                  <c:v>8.25</c:v>
                </c:pt>
                <c:pt idx="4">
                  <c:v>8.01</c:v>
                </c:pt>
                <c:pt idx="5">
                  <c:v>8.14</c:v>
                </c:pt>
                <c:pt idx="6">
                  <c:v>8.2799999999999994</c:v>
                </c:pt>
                <c:pt idx="7">
                  <c:v>8.5399999999999991</c:v>
                </c:pt>
                <c:pt idx="8">
                  <c:v>7.94</c:v>
                </c:pt>
                <c:pt idx="9">
                  <c:v>8.1</c:v>
                </c:pt>
                <c:pt idx="10">
                  <c:v>8.35</c:v>
                </c:pt>
                <c:pt idx="11">
                  <c:v>7.78</c:v>
                </c:pt>
                <c:pt idx="12">
                  <c:v>8.7200000000000006</c:v>
                </c:pt>
                <c:pt idx="13">
                  <c:v>8.58</c:v>
                </c:pt>
                <c:pt idx="14">
                  <c:v>7.54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FC-40A3-B598-A2F8DFE29C76}"/>
            </c:ext>
          </c:extLst>
        </c:ser>
        <c:ser>
          <c:idx val="4"/>
          <c:order val="1"/>
          <c:tx>
            <c:strRef>
              <c:f>pH!$A$5</c:f>
              <c:strCache>
                <c:ptCount val="1"/>
                <c:pt idx="0">
                  <c:v>15a-Bear Creek Inflow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pH!$B$2:$P$2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pH!$B$5:$P$5</c:f>
              <c:numCache>
                <c:formatCode>0.00</c:formatCode>
                <c:ptCount val="15"/>
                <c:pt idx="0">
                  <c:v>8.4600000000000009</c:v>
                </c:pt>
                <c:pt idx="1">
                  <c:v>8.08</c:v>
                </c:pt>
                <c:pt idx="2">
                  <c:v>8.52</c:v>
                </c:pt>
                <c:pt idx="3">
                  <c:v>8.3800000000000008</c:v>
                </c:pt>
                <c:pt idx="4">
                  <c:v>8.2100000000000009</c:v>
                </c:pt>
                <c:pt idx="5">
                  <c:v>8.19</c:v>
                </c:pt>
                <c:pt idx="6">
                  <c:v>8.3699999999999992</c:v>
                </c:pt>
                <c:pt idx="7">
                  <c:v>8.48</c:v>
                </c:pt>
                <c:pt idx="8">
                  <c:v>8.0299999999999994</c:v>
                </c:pt>
                <c:pt idx="9">
                  <c:v>8.6300000000000008</c:v>
                </c:pt>
                <c:pt idx="10">
                  <c:v>8.51</c:v>
                </c:pt>
                <c:pt idx="11">
                  <c:v>7.21</c:v>
                </c:pt>
                <c:pt idx="12">
                  <c:v>8.35</c:v>
                </c:pt>
                <c:pt idx="13">
                  <c:v>8.67</c:v>
                </c:pt>
                <c:pt idx="14">
                  <c:v>7.69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FC-40A3-B598-A2F8DFE29C76}"/>
            </c:ext>
          </c:extLst>
        </c:ser>
        <c:ser>
          <c:idx val="3"/>
          <c:order val="2"/>
          <c:tx>
            <c:strRef>
              <c:f>pH!$A$25</c:f>
              <c:strCache>
                <c:ptCount val="1"/>
                <c:pt idx="0">
                  <c:v>BCR Site 40 Profile Average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pH!$B$2:$P$2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pH!$B$25:$P$25</c:f>
              <c:numCache>
                <c:formatCode>0.00</c:formatCode>
                <c:ptCount val="15"/>
                <c:pt idx="0">
                  <c:v>8.6666666666666661</c:v>
                </c:pt>
                <c:pt idx="1">
                  <c:v>8.2080000000000002</c:v>
                </c:pt>
                <c:pt idx="2">
                  <c:v>8.3307142857142846</c:v>
                </c:pt>
                <c:pt idx="3">
                  <c:v>8.407692307692308</c:v>
                </c:pt>
                <c:pt idx="4">
                  <c:v>7.8521428571428578</c:v>
                </c:pt>
                <c:pt idx="5">
                  <c:v>7.8457142857142861</c:v>
                </c:pt>
                <c:pt idx="6">
                  <c:v>8.1428571428571423</c:v>
                </c:pt>
                <c:pt idx="7">
                  <c:v>8.2840000000000007</c:v>
                </c:pt>
                <c:pt idx="8">
                  <c:v>7.7935714285714273</c:v>
                </c:pt>
                <c:pt idx="9">
                  <c:v>7.9207142857142836</c:v>
                </c:pt>
                <c:pt idx="10">
                  <c:v>8.1871428571428559</c:v>
                </c:pt>
                <c:pt idx="11">
                  <c:v>8.1399999999999988</c:v>
                </c:pt>
                <c:pt idx="12">
                  <c:v>8.2353846153846142</c:v>
                </c:pt>
                <c:pt idx="13">
                  <c:v>8.4146153846153862</c:v>
                </c:pt>
                <c:pt idx="14">
                  <c:v>7.58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FC-40A3-B598-A2F8DFE29C76}"/>
            </c:ext>
          </c:extLst>
        </c:ser>
        <c:ser>
          <c:idx val="2"/>
          <c:order val="3"/>
          <c:tx>
            <c:strRef>
              <c:f>pH!$A$6</c:f>
              <c:strCache>
                <c:ptCount val="1"/>
                <c:pt idx="0">
                  <c:v>45-Bear Creek Discharge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pH!$B$2:$P$2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pH!$B$6:$P$6</c:f>
              <c:numCache>
                <c:formatCode>0.00</c:formatCode>
                <c:ptCount val="15"/>
                <c:pt idx="0">
                  <c:v>8.4499999999999993</c:v>
                </c:pt>
                <c:pt idx="1">
                  <c:v>8.51</c:v>
                </c:pt>
                <c:pt idx="2">
                  <c:v>8.66</c:v>
                </c:pt>
                <c:pt idx="3">
                  <c:v>8.5</c:v>
                </c:pt>
                <c:pt idx="4">
                  <c:v>8.0299999999999994</c:v>
                </c:pt>
                <c:pt idx="5">
                  <c:v>8.27</c:v>
                </c:pt>
                <c:pt idx="6">
                  <c:v>8.09</c:v>
                </c:pt>
                <c:pt idx="7">
                  <c:v>8.31</c:v>
                </c:pt>
                <c:pt idx="8">
                  <c:v>8.18</c:v>
                </c:pt>
                <c:pt idx="9">
                  <c:v>8.08</c:v>
                </c:pt>
                <c:pt idx="10">
                  <c:v>8.2899999999999991</c:v>
                </c:pt>
                <c:pt idx="11">
                  <c:v>8.41</c:v>
                </c:pt>
                <c:pt idx="12">
                  <c:v>8.07</c:v>
                </c:pt>
                <c:pt idx="13">
                  <c:v>8.2899999999999991</c:v>
                </c:pt>
                <c:pt idx="14">
                  <c:v>7.59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FC-40A3-B598-A2F8DFE29C76}"/>
            </c:ext>
          </c:extLst>
        </c:ser>
        <c:ser>
          <c:idx val="1"/>
          <c:order val="4"/>
          <c:tx>
            <c:strRef>
              <c:f>pH!$A$7</c:f>
              <c:strCache>
                <c:ptCount val="1"/>
                <c:pt idx="0">
                  <c:v>90-Wadsworth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pH!$B$2:$P$2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pH!$B$7:$P$7</c:f>
              <c:numCache>
                <c:formatCode>0.00</c:formatCode>
                <c:ptCount val="15"/>
                <c:pt idx="0">
                  <c:v>8.32</c:v>
                </c:pt>
                <c:pt idx="1">
                  <c:v>7.98</c:v>
                </c:pt>
                <c:pt idx="2">
                  <c:v>8.41</c:v>
                </c:pt>
                <c:pt idx="3">
                  <c:v>8.19</c:v>
                </c:pt>
                <c:pt idx="4">
                  <c:v>8.11</c:v>
                </c:pt>
                <c:pt idx="5">
                  <c:v>8.2200000000000006</c:v>
                </c:pt>
                <c:pt idx="6">
                  <c:v>7.86</c:v>
                </c:pt>
                <c:pt idx="7">
                  <c:v>7.94</c:v>
                </c:pt>
                <c:pt idx="8">
                  <c:v>7.96</c:v>
                </c:pt>
                <c:pt idx="9">
                  <c:v>8.06</c:v>
                </c:pt>
                <c:pt idx="10">
                  <c:v>8.07</c:v>
                </c:pt>
                <c:pt idx="11">
                  <c:v>8.2200000000000006</c:v>
                </c:pt>
                <c:pt idx="12">
                  <c:v>7.98</c:v>
                </c:pt>
                <c:pt idx="13">
                  <c:v>8.23</c:v>
                </c:pt>
                <c:pt idx="14">
                  <c:v>7.55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F-493D-9670-2EA3508BD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679808"/>
        <c:axId val="114681344"/>
      </c:lineChart>
      <c:dateAx>
        <c:axId val="114679808"/>
        <c:scaling>
          <c:orientation val="minMax"/>
        </c:scaling>
        <c:delete val="0"/>
        <c:axPos val="b"/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681344"/>
        <c:crosses val="autoZero"/>
        <c:auto val="0"/>
        <c:lblOffset val="100"/>
        <c:baseTimeUnit val="days"/>
        <c:majorUnit val="30"/>
        <c:majorTimeUnit val="days"/>
        <c:minorUnit val="1"/>
        <c:minorTimeUnit val="days"/>
      </c:dateAx>
      <c:valAx>
        <c:axId val="114681344"/>
        <c:scaling>
          <c:orientation val="minMax"/>
          <c:max val="9"/>
          <c:min val="7.2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67980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BCR pH Average 1/2-2 Meters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pH!$A$8</c:f>
              <c:strCache>
                <c:ptCount val="1"/>
                <c:pt idx="0">
                  <c:v>Site 40 Central Pool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pH!$B$2:$P$2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pH!$B$24:$P$24</c:f>
              <c:numCache>
                <c:formatCode>0.00</c:formatCode>
                <c:ptCount val="15"/>
                <c:pt idx="0">
                  <c:v>8.7225000000000001</c:v>
                </c:pt>
                <c:pt idx="1">
                  <c:v>8.4824999999999982</c:v>
                </c:pt>
                <c:pt idx="2">
                  <c:v>8.5274999999999999</c:v>
                </c:pt>
                <c:pt idx="3">
                  <c:v>8.5924999999999994</c:v>
                </c:pt>
                <c:pt idx="4">
                  <c:v>7.9349999999999996</c:v>
                </c:pt>
                <c:pt idx="5">
                  <c:v>7.9525000000000006</c:v>
                </c:pt>
                <c:pt idx="6">
                  <c:v>8.4049999999999994</c:v>
                </c:pt>
                <c:pt idx="7">
                  <c:v>8.5175000000000001</c:v>
                </c:pt>
                <c:pt idx="8">
                  <c:v>7.9249999999999998</c:v>
                </c:pt>
                <c:pt idx="9">
                  <c:v>8.0924999999999994</c:v>
                </c:pt>
                <c:pt idx="10">
                  <c:v>8.2949999999999999</c:v>
                </c:pt>
                <c:pt idx="11">
                  <c:v>8.0849999999999991</c:v>
                </c:pt>
                <c:pt idx="12">
                  <c:v>8.35</c:v>
                </c:pt>
                <c:pt idx="13">
                  <c:v>8.4725000000000001</c:v>
                </c:pt>
                <c:pt idx="14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B-4A66-A230-E06D23E4E04F}"/>
            </c:ext>
          </c:extLst>
        </c:ser>
        <c:ser>
          <c:idx val="1"/>
          <c:order val="1"/>
          <c:tx>
            <c:strRef>
              <c:f>pH!$A$26</c:f>
              <c:strCache>
                <c:ptCount val="1"/>
                <c:pt idx="0">
                  <c:v>Site 41- BC Outlet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pH!$B$2:$P$2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pH!$B$39:$P$39</c:f>
              <c:numCache>
                <c:formatCode>0.00</c:formatCode>
                <c:ptCount val="15"/>
                <c:pt idx="1">
                  <c:v>8.4674999999999994</c:v>
                </c:pt>
                <c:pt idx="2">
                  <c:v>8.3775000000000013</c:v>
                </c:pt>
                <c:pt idx="3">
                  <c:v>8.5474999999999994</c:v>
                </c:pt>
                <c:pt idx="4">
                  <c:v>7.87</c:v>
                </c:pt>
                <c:pt idx="5">
                  <c:v>7.9425000000000008</c:v>
                </c:pt>
                <c:pt idx="6">
                  <c:v>8.307500000000001</c:v>
                </c:pt>
                <c:pt idx="7">
                  <c:v>8.2225000000000001</c:v>
                </c:pt>
                <c:pt idx="8">
                  <c:v>7.6775000000000002</c:v>
                </c:pt>
                <c:pt idx="9">
                  <c:v>7.8</c:v>
                </c:pt>
                <c:pt idx="10">
                  <c:v>8.2899999999999991</c:v>
                </c:pt>
                <c:pt idx="11">
                  <c:v>8.3974999999999991</c:v>
                </c:pt>
                <c:pt idx="12">
                  <c:v>8.1699999999999982</c:v>
                </c:pt>
                <c:pt idx="13">
                  <c:v>8.3324999999999996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B-4A66-A230-E06D23E4E04F}"/>
            </c:ext>
          </c:extLst>
        </c:ser>
        <c:ser>
          <c:idx val="2"/>
          <c:order val="2"/>
          <c:tx>
            <c:strRef>
              <c:f>pH!$A$41</c:f>
              <c:strCache>
                <c:ptCount val="1"/>
                <c:pt idx="0">
                  <c:v>Site 42 - South Dam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pH!$B$2:$P$2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pH!$B$51:$P$51</c:f>
              <c:numCache>
                <c:formatCode>0.00</c:formatCode>
                <c:ptCount val="15"/>
                <c:pt idx="1">
                  <c:v>8.3125</c:v>
                </c:pt>
                <c:pt idx="2">
                  <c:v>8.5549999999999997</c:v>
                </c:pt>
                <c:pt idx="3">
                  <c:v>8.5</c:v>
                </c:pt>
                <c:pt idx="4">
                  <c:v>7.8224999999999998</c:v>
                </c:pt>
                <c:pt idx="5">
                  <c:v>7.8650000000000002</c:v>
                </c:pt>
                <c:pt idx="6">
                  <c:v>8.1074999999999999</c:v>
                </c:pt>
                <c:pt idx="7">
                  <c:v>8.0350000000000001</c:v>
                </c:pt>
                <c:pt idx="8">
                  <c:v>7.5350000000000001</c:v>
                </c:pt>
                <c:pt idx="9">
                  <c:v>7.74</c:v>
                </c:pt>
                <c:pt idx="10">
                  <c:v>8.1149999999999984</c:v>
                </c:pt>
                <c:pt idx="11">
                  <c:v>8.4674999999999994</c:v>
                </c:pt>
                <c:pt idx="12">
                  <c:v>8.1050000000000004</c:v>
                </c:pt>
                <c:pt idx="13">
                  <c:v>8.2850000000000001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B-4A66-A230-E06D23E4E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45376"/>
        <c:axId val="108246912"/>
      </c:lineChart>
      <c:dateAx>
        <c:axId val="108245376"/>
        <c:scaling>
          <c:orientation val="minMax"/>
        </c:scaling>
        <c:delete val="0"/>
        <c:axPos val="b"/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6912"/>
        <c:crosses val="autoZero"/>
        <c:auto val="1"/>
        <c:lblOffset val="100"/>
        <c:baseTimeUnit val="days"/>
        <c:majorUnit val="1"/>
        <c:majorTimeUnit val="months"/>
      </c:dateAx>
      <c:valAx>
        <c:axId val="108246912"/>
        <c:scaling>
          <c:orientation val="minMax"/>
          <c:max val="9"/>
          <c:min val="7.5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5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BCR Dissolved Oxygen Average 1/2-2 Meters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Oxygen!$A$8</c:f>
              <c:strCache>
                <c:ptCount val="1"/>
                <c:pt idx="0">
                  <c:v>Site 40 Central Pool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Oxygen!$B$2:$P$2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Oxygen!$B$23:$P$23</c:f>
              <c:numCache>
                <c:formatCode>0.00</c:formatCode>
                <c:ptCount val="15"/>
                <c:pt idx="0">
                  <c:v>14.734999999999999</c:v>
                </c:pt>
                <c:pt idx="1">
                  <c:v>16.802500000000002</c:v>
                </c:pt>
                <c:pt idx="2">
                  <c:v>14.092500000000001</c:v>
                </c:pt>
                <c:pt idx="3">
                  <c:v>12.375</c:v>
                </c:pt>
                <c:pt idx="4">
                  <c:v>9.7949999999999999</c:v>
                </c:pt>
                <c:pt idx="5">
                  <c:v>9.4524999999999988</c:v>
                </c:pt>
                <c:pt idx="6">
                  <c:v>8.7149999999999999</c:v>
                </c:pt>
                <c:pt idx="7">
                  <c:v>8.5975000000000001</c:v>
                </c:pt>
                <c:pt idx="8">
                  <c:v>6.3275000000000006</c:v>
                </c:pt>
                <c:pt idx="9">
                  <c:v>6.3674999999999997</c:v>
                </c:pt>
                <c:pt idx="10">
                  <c:v>7.8624999999999998</c:v>
                </c:pt>
                <c:pt idx="11">
                  <c:v>8.8275000000000006</c:v>
                </c:pt>
                <c:pt idx="12">
                  <c:v>10.522499999999999</c:v>
                </c:pt>
                <c:pt idx="13">
                  <c:v>12.209999999999999</c:v>
                </c:pt>
                <c:pt idx="14">
                  <c:v>13.129999999999999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0-449F-B9BB-DF42B4540E27}"/>
            </c:ext>
          </c:extLst>
        </c:ser>
        <c:ser>
          <c:idx val="1"/>
          <c:order val="1"/>
          <c:tx>
            <c:strRef>
              <c:f>Oxygen!$A$25</c:f>
              <c:strCache>
                <c:ptCount val="1"/>
                <c:pt idx="0">
                  <c:v>Site 41- BC Outlet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Oxygen!$B$2:$P$2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Oxygen!$B$38:$P$38</c:f>
              <c:numCache>
                <c:formatCode>0.00</c:formatCode>
                <c:ptCount val="15"/>
                <c:pt idx="1">
                  <c:v>16.357499999999998</c:v>
                </c:pt>
                <c:pt idx="2">
                  <c:v>13.635</c:v>
                </c:pt>
                <c:pt idx="3">
                  <c:v>11.547499999999999</c:v>
                </c:pt>
                <c:pt idx="4">
                  <c:v>8.5900000000000016</c:v>
                </c:pt>
                <c:pt idx="5">
                  <c:v>9.3249999999999993</c:v>
                </c:pt>
                <c:pt idx="6">
                  <c:v>8.7225000000000001</c:v>
                </c:pt>
                <c:pt idx="7">
                  <c:v>8.1275000000000013</c:v>
                </c:pt>
                <c:pt idx="8">
                  <c:v>5.9124999999999996</c:v>
                </c:pt>
                <c:pt idx="9">
                  <c:v>6.0325000000000006</c:v>
                </c:pt>
                <c:pt idx="10">
                  <c:v>8.43</c:v>
                </c:pt>
                <c:pt idx="11">
                  <c:v>9.6074999999999999</c:v>
                </c:pt>
                <c:pt idx="12">
                  <c:v>10.465</c:v>
                </c:pt>
                <c:pt idx="13">
                  <c:v>11.477499999999999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0-449F-B9BB-DF42B4540E27}"/>
            </c:ext>
          </c:extLst>
        </c:ser>
        <c:ser>
          <c:idx val="2"/>
          <c:order val="2"/>
          <c:tx>
            <c:strRef>
              <c:f>Oxygen!$A$40</c:f>
              <c:strCache>
                <c:ptCount val="1"/>
                <c:pt idx="0">
                  <c:v>Site 42 - South Dam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Oxygen!$B$2:$P$2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Oxygen!$B$50:$P$50</c:f>
              <c:numCache>
                <c:formatCode>0.00</c:formatCode>
                <c:ptCount val="15"/>
                <c:pt idx="1">
                  <c:v>15.6625</c:v>
                </c:pt>
                <c:pt idx="2">
                  <c:v>13.567500000000001</c:v>
                </c:pt>
                <c:pt idx="3">
                  <c:v>12.3575</c:v>
                </c:pt>
                <c:pt idx="4">
                  <c:v>8.6999999999999993</c:v>
                </c:pt>
                <c:pt idx="5">
                  <c:v>9.4675000000000011</c:v>
                </c:pt>
                <c:pt idx="6">
                  <c:v>8.4175000000000004</c:v>
                </c:pt>
                <c:pt idx="7">
                  <c:v>7.4850000000000003</c:v>
                </c:pt>
                <c:pt idx="8">
                  <c:v>5.8000000000000007</c:v>
                </c:pt>
                <c:pt idx="9">
                  <c:v>5.9300000000000006</c:v>
                </c:pt>
                <c:pt idx="10">
                  <c:v>7.7200000000000006</c:v>
                </c:pt>
                <c:pt idx="11">
                  <c:v>9.3974999999999991</c:v>
                </c:pt>
                <c:pt idx="12">
                  <c:v>11.000000000000002</c:v>
                </c:pt>
                <c:pt idx="13">
                  <c:v>11.81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60-449F-B9BB-DF42B4540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000448"/>
        <c:axId val="115001984"/>
      </c:lineChart>
      <c:dateAx>
        <c:axId val="115000448"/>
        <c:scaling>
          <c:orientation val="minMax"/>
        </c:scaling>
        <c:delete val="0"/>
        <c:axPos val="b"/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01984"/>
        <c:crosses val="autoZero"/>
        <c:auto val="1"/>
        <c:lblOffset val="100"/>
        <c:baseTimeUnit val="days"/>
        <c:majorUnit val="1"/>
        <c:majorTimeUnit val="months"/>
        <c:minorUnit val="7"/>
        <c:minorTimeUnit val="days"/>
      </c:dateAx>
      <c:valAx>
        <c:axId val="115001984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00448"/>
        <c:crosses val="autoZero"/>
        <c:crossBetween val="between"/>
        <c:majorUnit val="2"/>
        <c:min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Dissolved Oxygen Trends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Oxygen!$A$4</c:f>
              <c:strCache>
                <c:ptCount val="1"/>
                <c:pt idx="0">
                  <c:v>16a-Turkey Creek Inflow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Oxygen!$B$2:$P$2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Oxygen!$B$4:$P$4</c:f>
              <c:numCache>
                <c:formatCode>0.00</c:formatCode>
                <c:ptCount val="15"/>
                <c:pt idx="0">
                  <c:v>11.6</c:v>
                </c:pt>
                <c:pt idx="1">
                  <c:v>13.35</c:v>
                </c:pt>
                <c:pt idx="2">
                  <c:v>13.26</c:v>
                </c:pt>
                <c:pt idx="3">
                  <c:v>12.26</c:v>
                </c:pt>
                <c:pt idx="4">
                  <c:v>10.49</c:v>
                </c:pt>
                <c:pt idx="5">
                  <c:v>11.33</c:v>
                </c:pt>
                <c:pt idx="6">
                  <c:v>9.1</c:v>
                </c:pt>
                <c:pt idx="7">
                  <c:v>8.98</c:v>
                </c:pt>
                <c:pt idx="8">
                  <c:v>8.6999999999999993</c:v>
                </c:pt>
                <c:pt idx="9">
                  <c:v>9.11</c:v>
                </c:pt>
                <c:pt idx="10">
                  <c:v>9.68</c:v>
                </c:pt>
                <c:pt idx="11">
                  <c:v>10.86</c:v>
                </c:pt>
                <c:pt idx="12">
                  <c:v>12.41</c:v>
                </c:pt>
                <c:pt idx="13">
                  <c:v>13.19</c:v>
                </c:pt>
                <c:pt idx="14">
                  <c:v>11.52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9-4B89-8404-E0903221767C}"/>
            </c:ext>
          </c:extLst>
        </c:ser>
        <c:ser>
          <c:idx val="1"/>
          <c:order val="1"/>
          <c:tx>
            <c:strRef>
              <c:f>Oxygen!$A$5</c:f>
              <c:strCache>
                <c:ptCount val="1"/>
                <c:pt idx="0">
                  <c:v>15a-Bear Creek Inflow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Oxygen!$B$2:$P$2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Oxygen!$B$5:$O$5</c:f>
              <c:numCache>
                <c:formatCode>0.00</c:formatCode>
                <c:ptCount val="14"/>
                <c:pt idx="0">
                  <c:v>12.48</c:v>
                </c:pt>
                <c:pt idx="1">
                  <c:v>12.53</c:v>
                </c:pt>
                <c:pt idx="2">
                  <c:v>11.95</c:v>
                </c:pt>
                <c:pt idx="3">
                  <c:v>9.4499999999999993</c:v>
                </c:pt>
                <c:pt idx="4">
                  <c:v>9.01</c:v>
                </c:pt>
                <c:pt idx="5">
                  <c:v>10.96</c:v>
                </c:pt>
                <c:pt idx="6">
                  <c:v>8.9</c:v>
                </c:pt>
                <c:pt idx="7">
                  <c:v>8.4499999999999993</c:v>
                </c:pt>
                <c:pt idx="8">
                  <c:v>8.77</c:v>
                </c:pt>
                <c:pt idx="9">
                  <c:v>8.65</c:v>
                </c:pt>
                <c:pt idx="10">
                  <c:v>8.9</c:v>
                </c:pt>
                <c:pt idx="11">
                  <c:v>9.19</c:v>
                </c:pt>
                <c:pt idx="12">
                  <c:v>12.82</c:v>
                </c:pt>
                <c:pt idx="13">
                  <c:v>12.18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9-4B89-8404-E0903221767C}"/>
            </c:ext>
          </c:extLst>
        </c:ser>
        <c:ser>
          <c:idx val="3"/>
          <c:order val="2"/>
          <c:tx>
            <c:strRef>
              <c:f>Oxygen!$A$24</c:f>
              <c:strCache>
                <c:ptCount val="1"/>
                <c:pt idx="0">
                  <c:v>BCR Site 40 Profile Average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Oxygen!$B$2:$P$2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Oxygen!$B$24:$O$24</c:f>
              <c:numCache>
                <c:formatCode>0.00</c:formatCode>
                <c:ptCount val="14"/>
                <c:pt idx="0">
                  <c:v>13.888333333333335</c:v>
                </c:pt>
                <c:pt idx="1">
                  <c:v>11.812000000000003</c:v>
                </c:pt>
                <c:pt idx="2">
                  <c:v>9.5</c:v>
                </c:pt>
                <c:pt idx="3">
                  <c:v>9.59</c:v>
                </c:pt>
                <c:pt idx="4">
                  <c:v>8.5449999999999999</c:v>
                </c:pt>
                <c:pt idx="5">
                  <c:v>8.8271428571428565</c:v>
                </c:pt>
                <c:pt idx="6">
                  <c:v>7.2792857142857139</c:v>
                </c:pt>
                <c:pt idx="7">
                  <c:v>7.145714285714285</c:v>
                </c:pt>
                <c:pt idx="8">
                  <c:v>5.6028571428571423</c:v>
                </c:pt>
                <c:pt idx="9">
                  <c:v>5.5557142857142852</c:v>
                </c:pt>
                <c:pt idx="10">
                  <c:v>7.3635714285714284</c:v>
                </c:pt>
                <c:pt idx="11">
                  <c:v>8.1078571428571422</c:v>
                </c:pt>
                <c:pt idx="12">
                  <c:v>9.2930769230769226</c:v>
                </c:pt>
                <c:pt idx="13">
                  <c:v>11.684615384615382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39-4B89-8404-E0903221767C}"/>
            </c:ext>
          </c:extLst>
        </c:ser>
        <c:ser>
          <c:idx val="2"/>
          <c:order val="3"/>
          <c:tx>
            <c:strRef>
              <c:f>Oxygen!$A$6</c:f>
              <c:strCache>
                <c:ptCount val="1"/>
                <c:pt idx="0">
                  <c:v>45-Bear Creek Discharge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Oxygen!$B$2:$P$2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Oxygen!$B$6:$O$6</c:f>
              <c:numCache>
                <c:formatCode>0.00</c:formatCode>
                <c:ptCount val="14"/>
                <c:pt idx="0">
                  <c:v>11.38</c:v>
                </c:pt>
                <c:pt idx="1">
                  <c:v>12.12</c:v>
                </c:pt>
                <c:pt idx="2">
                  <c:v>11.03</c:v>
                </c:pt>
                <c:pt idx="3">
                  <c:v>10.220000000000001</c:v>
                </c:pt>
                <c:pt idx="4">
                  <c:v>8.52</c:v>
                </c:pt>
                <c:pt idx="5">
                  <c:v>9.8800000000000008</c:v>
                </c:pt>
                <c:pt idx="6">
                  <c:v>6.27</c:v>
                </c:pt>
                <c:pt idx="7">
                  <c:v>7.67</c:v>
                </c:pt>
                <c:pt idx="8">
                  <c:v>6.31</c:v>
                </c:pt>
                <c:pt idx="9">
                  <c:v>7.59</c:v>
                </c:pt>
                <c:pt idx="10">
                  <c:v>8.6300000000000008</c:v>
                </c:pt>
                <c:pt idx="11">
                  <c:v>8.5299999999999994</c:v>
                </c:pt>
                <c:pt idx="12">
                  <c:v>10.07</c:v>
                </c:pt>
                <c:pt idx="13">
                  <c:v>11.38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39-4B89-8404-E0903221767C}"/>
            </c:ext>
          </c:extLst>
        </c:ser>
        <c:ser>
          <c:idx val="4"/>
          <c:order val="4"/>
          <c:tx>
            <c:strRef>
              <c:f>Oxygen!$A$7</c:f>
              <c:strCache>
                <c:ptCount val="1"/>
                <c:pt idx="0">
                  <c:v>90-Wadsworth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Oxygen!$B$2:$P$2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Oxygen!$B$7:$O$7</c:f>
              <c:numCache>
                <c:formatCode>0.00</c:formatCode>
                <c:ptCount val="14"/>
                <c:pt idx="0">
                  <c:v>13.39</c:v>
                </c:pt>
                <c:pt idx="1">
                  <c:v>13.1</c:v>
                </c:pt>
                <c:pt idx="2">
                  <c:v>12.3</c:v>
                </c:pt>
                <c:pt idx="3">
                  <c:v>10.029999999999999</c:v>
                </c:pt>
                <c:pt idx="4">
                  <c:v>8.9700000000000006</c:v>
                </c:pt>
                <c:pt idx="5">
                  <c:v>9.3699999999999992</c:v>
                </c:pt>
                <c:pt idx="6">
                  <c:v>8.18</c:v>
                </c:pt>
                <c:pt idx="7">
                  <c:v>7.92</c:v>
                </c:pt>
                <c:pt idx="8">
                  <c:v>9.18</c:v>
                </c:pt>
                <c:pt idx="9">
                  <c:v>8.15</c:v>
                </c:pt>
                <c:pt idx="10">
                  <c:v>8.86</c:v>
                </c:pt>
                <c:pt idx="11">
                  <c:v>10.32</c:v>
                </c:pt>
                <c:pt idx="12">
                  <c:v>11.87</c:v>
                </c:pt>
                <c:pt idx="13">
                  <c:v>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1D-4364-BB97-C8FEBC5BD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032832"/>
        <c:axId val="115034368"/>
      </c:lineChart>
      <c:dateAx>
        <c:axId val="115032832"/>
        <c:scaling>
          <c:orientation val="minMax"/>
        </c:scaling>
        <c:delete val="0"/>
        <c:axPos val="b"/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34368"/>
        <c:crosses val="autoZero"/>
        <c:auto val="1"/>
        <c:lblOffset val="100"/>
        <c:baseTimeUnit val="days"/>
        <c:majorUnit val="1"/>
        <c:majorTimeUnit val="months"/>
      </c:dateAx>
      <c:valAx>
        <c:axId val="115034368"/>
        <c:scaling>
          <c:orientation val="minMax"/>
          <c:max val="15"/>
          <c:min val="4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32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BCR Temperature C (0.5-2m)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'Temp DO Comp'!$A$4</c:f>
              <c:strCache>
                <c:ptCount val="1"/>
                <c:pt idx="0">
                  <c:v>site 40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'Temp DO Comp'!$B$2:$P$2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'Temp DO Comp'!$B$4:$P$4</c:f>
              <c:numCache>
                <c:formatCode>0.00</c:formatCode>
                <c:ptCount val="15"/>
                <c:pt idx="0">
                  <c:v>3.7749999999999995</c:v>
                </c:pt>
                <c:pt idx="1">
                  <c:v>2.6749999999999998</c:v>
                </c:pt>
                <c:pt idx="2">
                  <c:v>4.875</c:v>
                </c:pt>
                <c:pt idx="3">
                  <c:v>10.099999999999998</c:v>
                </c:pt>
                <c:pt idx="4">
                  <c:v>11.925000000000001</c:v>
                </c:pt>
                <c:pt idx="5">
                  <c:v>14.925000000000001</c:v>
                </c:pt>
                <c:pt idx="6">
                  <c:v>19.7</c:v>
                </c:pt>
                <c:pt idx="7">
                  <c:v>20.25</c:v>
                </c:pt>
                <c:pt idx="8">
                  <c:v>21.224999999999998</c:v>
                </c:pt>
                <c:pt idx="9">
                  <c:v>22.274999999999999</c:v>
                </c:pt>
                <c:pt idx="10">
                  <c:v>20.475000000000001</c:v>
                </c:pt>
                <c:pt idx="11">
                  <c:v>19.850000000000001</c:v>
                </c:pt>
                <c:pt idx="12">
                  <c:v>12.299999999999999</c:v>
                </c:pt>
                <c:pt idx="13">
                  <c:v>5.3500000000000005</c:v>
                </c:pt>
                <c:pt idx="14">
                  <c:v>3.375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E-414B-933A-BCA55D0D96CF}"/>
            </c:ext>
          </c:extLst>
        </c:ser>
        <c:ser>
          <c:idx val="1"/>
          <c:order val="1"/>
          <c:tx>
            <c:strRef>
              <c:f>'Temp DO Comp'!$A$5</c:f>
              <c:strCache>
                <c:ptCount val="1"/>
                <c:pt idx="0">
                  <c:v>Site 41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'Temp DO Comp'!$B$2:$P$2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'Temp DO Comp'!$B$5:$P$5</c:f>
              <c:numCache>
                <c:formatCode>0.00</c:formatCode>
                <c:ptCount val="15"/>
                <c:pt idx="1">
                  <c:v>2.9249999999999998</c:v>
                </c:pt>
                <c:pt idx="2">
                  <c:v>4.7750000000000004</c:v>
                </c:pt>
                <c:pt idx="3">
                  <c:v>9.2249999999999996</c:v>
                </c:pt>
                <c:pt idx="4">
                  <c:v>12.45</c:v>
                </c:pt>
                <c:pt idx="5">
                  <c:v>15.225</c:v>
                </c:pt>
                <c:pt idx="6">
                  <c:v>19.5</c:v>
                </c:pt>
                <c:pt idx="7">
                  <c:v>20.399999999999999</c:v>
                </c:pt>
                <c:pt idx="8">
                  <c:v>22.099999999999998</c:v>
                </c:pt>
                <c:pt idx="9">
                  <c:v>22.425000000000001</c:v>
                </c:pt>
                <c:pt idx="10">
                  <c:v>20.824999999999999</c:v>
                </c:pt>
                <c:pt idx="11">
                  <c:v>19.925000000000001</c:v>
                </c:pt>
                <c:pt idx="12">
                  <c:v>12.375</c:v>
                </c:pt>
                <c:pt idx="13">
                  <c:v>5.3250000000000002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E-414B-933A-BCA55D0D96CF}"/>
            </c:ext>
          </c:extLst>
        </c:ser>
        <c:ser>
          <c:idx val="2"/>
          <c:order val="2"/>
          <c:tx>
            <c:strRef>
              <c:f>'Temp DO Comp'!$A$6</c:f>
              <c:strCache>
                <c:ptCount val="1"/>
                <c:pt idx="0">
                  <c:v>Site 42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'Temp DO Comp'!$B$2:$P$2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'Temp DO Comp'!$B$6:$P$6</c:f>
              <c:numCache>
                <c:formatCode>0.00</c:formatCode>
                <c:ptCount val="15"/>
                <c:pt idx="1">
                  <c:v>2.65</c:v>
                </c:pt>
                <c:pt idx="2">
                  <c:v>5.0999999999999996</c:v>
                </c:pt>
                <c:pt idx="3">
                  <c:v>10.45</c:v>
                </c:pt>
                <c:pt idx="4">
                  <c:v>12.600000000000001</c:v>
                </c:pt>
                <c:pt idx="5">
                  <c:v>15.225000000000001</c:v>
                </c:pt>
                <c:pt idx="6">
                  <c:v>19.275000000000002</c:v>
                </c:pt>
                <c:pt idx="7">
                  <c:v>19.8</c:v>
                </c:pt>
                <c:pt idx="8">
                  <c:v>21.875</c:v>
                </c:pt>
                <c:pt idx="9">
                  <c:v>22.075000000000003</c:v>
                </c:pt>
                <c:pt idx="10">
                  <c:v>20.9</c:v>
                </c:pt>
                <c:pt idx="11">
                  <c:v>20.099999999999998</c:v>
                </c:pt>
                <c:pt idx="12">
                  <c:v>12.4</c:v>
                </c:pt>
                <c:pt idx="13">
                  <c:v>5.2999999999999989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E-414B-933A-BCA55D0D96CF}"/>
            </c:ext>
          </c:extLst>
        </c:ser>
        <c:ser>
          <c:idx val="5"/>
          <c:order val="3"/>
          <c:tx>
            <c:strRef>
              <c:f>'Temp DO Comp'!$A$7</c:f>
              <c:strCache>
                <c:ptCount val="1"/>
                <c:pt idx="0">
                  <c:v>S(Jan-Mar)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'Temp DO Comp'!$B$7:$D$7</c:f>
              <c:numCache>
                <c:formatCode>0</c:formatCode>
                <c:ptCount val="3"/>
                <c:pt idx="0" formatCode="#,##0">
                  <c:v>9</c:v>
                </c:pt>
                <c:pt idx="1">
                  <c:v>9</c:v>
                </c:pt>
                <c:pt idx="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0E-414B-933A-BCA55D0D96CF}"/>
            </c:ext>
          </c:extLst>
        </c:ser>
        <c:ser>
          <c:idx val="6"/>
          <c:order val="4"/>
          <c:tx>
            <c:strRef>
              <c:f>'Temp DO Comp'!$A$8</c:f>
              <c:strCache>
                <c:ptCount val="1"/>
                <c:pt idx="0">
                  <c:v>S(Apr-Dec)</c:v>
                </c:pt>
              </c:strCache>
            </c:strRef>
          </c:tx>
          <c:spPr>
            <a:ln w="34925" cap="rnd">
              <a:solidFill>
                <a:srgbClr val="00B0F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'Temp DO Comp'!$B$8:$P$8</c:f>
              <c:numCache>
                <c:formatCode>0.00</c:formatCode>
                <c:ptCount val="15"/>
                <c:pt idx="3" formatCode="#,##0">
                  <c:v>23.3</c:v>
                </c:pt>
                <c:pt idx="4" formatCode="#,##0">
                  <c:v>23.3</c:v>
                </c:pt>
                <c:pt idx="5" formatCode="#,##0">
                  <c:v>23.3</c:v>
                </c:pt>
                <c:pt idx="6" formatCode="#,##0">
                  <c:v>23.3</c:v>
                </c:pt>
                <c:pt idx="7" formatCode="#,##0">
                  <c:v>23.3</c:v>
                </c:pt>
                <c:pt idx="8" formatCode="#,##0">
                  <c:v>23.3</c:v>
                </c:pt>
                <c:pt idx="9" formatCode="#,##0">
                  <c:v>23.3</c:v>
                </c:pt>
                <c:pt idx="10" formatCode="#,##0">
                  <c:v>23.3</c:v>
                </c:pt>
                <c:pt idx="11" formatCode="#,##0">
                  <c:v>23.3</c:v>
                </c:pt>
                <c:pt idx="12" formatCode="#,##0">
                  <c:v>23.3</c:v>
                </c:pt>
                <c:pt idx="13" formatCode="#,##0">
                  <c:v>23.3</c:v>
                </c:pt>
                <c:pt idx="14" formatCode="#,##0">
                  <c:v>23.3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0E-414B-933A-BCA55D0D9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096576"/>
        <c:axId val="115106560"/>
      </c:lineChart>
      <c:dateAx>
        <c:axId val="115096576"/>
        <c:scaling>
          <c:orientation val="minMax"/>
        </c:scaling>
        <c:delete val="0"/>
        <c:axPos val="b"/>
        <c:numFmt formatCode="[$-409]d\-m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06560"/>
        <c:crosses val="autoZero"/>
        <c:auto val="1"/>
        <c:lblOffset val="100"/>
        <c:baseTimeUnit val="days"/>
      </c:dateAx>
      <c:valAx>
        <c:axId val="11510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965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DO Compliance Bear Creek Reservoir Site 40 Central Pool</a:t>
            </a:r>
          </a:p>
        </c:rich>
      </c:tx>
      <c:layout>
        <c:manualLayout>
          <c:xMode val="edge"/>
          <c:yMode val="edge"/>
          <c:x val="0.22833274093836303"/>
          <c:y val="3.63818918297273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138200074865365"/>
          <c:y val="0.11462692163479567"/>
          <c:w val="0.79717028914465227"/>
          <c:h val="0.63168820791375524"/>
        </c:manualLayout>
      </c:layout>
      <c:lineChart>
        <c:grouping val="standard"/>
        <c:varyColors val="0"/>
        <c:ser>
          <c:idx val="3"/>
          <c:order val="0"/>
          <c:tx>
            <c:strRef>
              <c:f>'Temp DO Comp'!$S$4</c:f>
              <c:strCache>
                <c:ptCount val="1"/>
                <c:pt idx="0">
                  <c:v>Average1/2-2m (mg/l)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'Temp DO Comp'!$T$2:$AG$2</c:f>
              <c:numCache>
                <c:formatCode>[$-409]d\-mmm;@</c:formatCode>
                <c:ptCount val="14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</c:numCache>
            </c:numRef>
          </c:cat>
          <c:val>
            <c:numRef>
              <c:f>'Temp DO Comp'!$T$4:$AG$4</c:f>
              <c:numCache>
                <c:formatCode>0.00</c:formatCode>
                <c:ptCount val="14"/>
                <c:pt idx="0">
                  <c:v>14.734999999999999</c:v>
                </c:pt>
                <c:pt idx="1">
                  <c:v>16.802500000000002</c:v>
                </c:pt>
                <c:pt idx="2">
                  <c:v>14.092500000000001</c:v>
                </c:pt>
                <c:pt idx="3">
                  <c:v>12.375</c:v>
                </c:pt>
                <c:pt idx="4">
                  <c:v>9.7949999999999999</c:v>
                </c:pt>
                <c:pt idx="5">
                  <c:v>9.4524999999999988</c:v>
                </c:pt>
                <c:pt idx="6">
                  <c:v>8.7149999999999999</c:v>
                </c:pt>
                <c:pt idx="7">
                  <c:v>8.5975000000000001</c:v>
                </c:pt>
                <c:pt idx="8">
                  <c:v>6.3275000000000006</c:v>
                </c:pt>
                <c:pt idx="9">
                  <c:v>6.3674999999999997</c:v>
                </c:pt>
                <c:pt idx="10">
                  <c:v>7.8624999999999998</c:v>
                </c:pt>
                <c:pt idx="11">
                  <c:v>8.8275000000000006</c:v>
                </c:pt>
                <c:pt idx="12">
                  <c:v>10.522499999999999</c:v>
                </c:pt>
                <c:pt idx="13">
                  <c:v>12.209999999999999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5F-4FDE-9CC8-559F1ADAF69F}"/>
            </c:ext>
          </c:extLst>
        </c:ser>
        <c:ser>
          <c:idx val="2"/>
          <c:order val="1"/>
          <c:tx>
            <c:strRef>
              <c:f>'Temp DO Comp'!$S$5</c:f>
              <c:strCache>
                <c:ptCount val="1"/>
                <c:pt idx="0">
                  <c:v>Profile Average (mg/l)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'Temp DO Comp'!$T$2:$AG$2</c:f>
              <c:numCache>
                <c:formatCode>[$-409]d\-mmm;@</c:formatCode>
                <c:ptCount val="14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</c:numCache>
            </c:numRef>
          </c:cat>
          <c:val>
            <c:numRef>
              <c:f>'Temp DO Comp'!$T$5:$AG$5</c:f>
              <c:numCache>
                <c:formatCode>0.00</c:formatCode>
                <c:ptCount val="14"/>
                <c:pt idx="0">
                  <c:v>13.888333333333335</c:v>
                </c:pt>
                <c:pt idx="1">
                  <c:v>11.812000000000003</c:v>
                </c:pt>
                <c:pt idx="2">
                  <c:v>9.5</c:v>
                </c:pt>
                <c:pt idx="3">
                  <c:v>9.59</c:v>
                </c:pt>
                <c:pt idx="4">
                  <c:v>8.5449999999999999</c:v>
                </c:pt>
                <c:pt idx="5">
                  <c:v>8.8271428571428565</c:v>
                </c:pt>
                <c:pt idx="6">
                  <c:v>7.2792857142857139</c:v>
                </c:pt>
                <c:pt idx="7">
                  <c:v>7.145714285714285</c:v>
                </c:pt>
                <c:pt idx="8">
                  <c:v>5.6028571428571423</c:v>
                </c:pt>
                <c:pt idx="9">
                  <c:v>5.5557142857142852</c:v>
                </c:pt>
                <c:pt idx="10">
                  <c:v>7.3635714285714284</c:v>
                </c:pt>
                <c:pt idx="11">
                  <c:v>8.1078571428571422</c:v>
                </c:pt>
                <c:pt idx="12">
                  <c:v>9.2930769230769226</c:v>
                </c:pt>
                <c:pt idx="13">
                  <c:v>11.684615384615382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5F-4FDE-9CC8-559F1ADAF69F}"/>
            </c:ext>
          </c:extLst>
        </c:ser>
        <c:ser>
          <c:idx val="0"/>
          <c:order val="2"/>
          <c:tx>
            <c:strRef>
              <c:f>'Temp DO Comp'!$S$6</c:f>
              <c:strCache>
                <c:ptCount val="1"/>
                <c:pt idx="0">
                  <c:v>DO Compliance (mg/l)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'Temp DO Comp'!$T$2:$AG$2</c:f>
              <c:numCache>
                <c:formatCode>[$-409]d\-mmm;@</c:formatCode>
                <c:ptCount val="14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</c:numCache>
            </c:numRef>
          </c:cat>
          <c:val>
            <c:numRef>
              <c:f>'Temp DO Comp'!$T$6:$AG$6</c:f>
              <c:numCache>
                <c:formatCode>0.0</c:formatCode>
                <c:ptCount val="14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3A-48EB-BD79-7E7F79C5A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140096"/>
        <c:axId val="115141632"/>
      </c:lineChart>
      <c:dateAx>
        <c:axId val="115140096"/>
        <c:scaling>
          <c:orientation val="minMax"/>
        </c:scaling>
        <c:delete val="0"/>
        <c:axPos val="b"/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41632"/>
        <c:crosses val="autoZero"/>
        <c:auto val="1"/>
        <c:lblOffset val="100"/>
        <c:baseTimeUnit val="days"/>
        <c:majorUnit val="1"/>
        <c:majorTimeUnit val="months"/>
      </c:dateAx>
      <c:valAx>
        <c:axId val="115141632"/>
        <c:scaling>
          <c:orientation val="minMax"/>
          <c:max val="18"/>
          <c:min val="4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Dissolved Oxygen (mg/l)</a:t>
                </a:r>
              </a:p>
            </c:rich>
          </c:tx>
          <c:layout>
            <c:manualLayout>
              <c:xMode val="edge"/>
              <c:yMode val="edge"/>
              <c:x val="9.2362537057704169E-2"/>
              <c:y val="0.248552371479652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400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00"/>
              <a:t>Bear Creek Reservoir Total </a:t>
            </a:r>
            <a:r>
              <a:rPr lang="en-US" sz="1000"/>
              <a:t>Suspended</a:t>
            </a:r>
            <a:r>
              <a:rPr lang="en-US" sz="900"/>
              <a:t> Sediments [mg/l] Trend</a:t>
            </a:r>
          </a:p>
        </c:rich>
      </c:tx>
      <c:layout>
        <c:manualLayout>
          <c:xMode val="edge"/>
          <c:yMode val="edge"/>
          <c:x val="0.22063492063492063"/>
          <c:y val="4.065040650406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184924981063934E-2"/>
          <c:y val="0.14769733051664197"/>
          <c:w val="0.92268983282716865"/>
          <c:h val="0.73650574577054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'Annual Reservoir Trends'!$B$18</c:f>
              <c:strCache>
                <c:ptCount val="1"/>
                <c:pt idx="0">
                  <c:v>Top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'Annual Reservoir Trends'!$C$3:$AC$3</c:f>
              <c:numCache>
                <c:formatCode>0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'Annual Reservoir Trends'!$C$18:$AC$18</c:f>
              <c:numCache>
                <c:formatCode>#,##0</c:formatCode>
                <c:ptCount val="27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9</c:v>
                </c:pt>
                <c:pt idx="4">
                  <c:v>6</c:v>
                </c:pt>
                <c:pt idx="5">
                  <c:v>4</c:v>
                </c:pt>
                <c:pt idx="6">
                  <c:v>12</c:v>
                </c:pt>
                <c:pt idx="7">
                  <c:v>6</c:v>
                </c:pt>
                <c:pt idx="8">
                  <c:v>7</c:v>
                </c:pt>
                <c:pt idx="9">
                  <c:v>6</c:v>
                </c:pt>
                <c:pt idx="10">
                  <c:v>7</c:v>
                </c:pt>
                <c:pt idx="11">
                  <c:v>5</c:v>
                </c:pt>
                <c:pt idx="12">
                  <c:v>7</c:v>
                </c:pt>
                <c:pt idx="13">
                  <c:v>3</c:v>
                </c:pt>
                <c:pt idx="14" formatCode="0.0">
                  <c:v>5.4026666666666667</c:v>
                </c:pt>
                <c:pt idx="15" formatCode="0.0">
                  <c:v>6.2935111111111111</c:v>
                </c:pt>
                <c:pt idx="16" formatCode="0.0">
                  <c:v>5.7373968253968224</c:v>
                </c:pt>
                <c:pt idx="17" formatCode="0.0">
                  <c:v>11.2</c:v>
                </c:pt>
                <c:pt idx="18" formatCode="0.0">
                  <c:v>6.9</c:v>
                </c:pt>
                <c:pt idx="19" formatCode="0.0">
                  <c:v>7.3</c:v>
                </c:pt>
                <c:pt idx="20" formatCode="0.0">
                  <c:v>6.2</c:v>
                </c:pt>
                <c:pt idx="21" formatCode="0.0">
                  <c:v>6.4</c:v>
                </c:pt>
                <c:pt idx="22" formatCode="0.0">
                  <c:v>7.1</c:v>
                </c:pt>
                <c:pt idx="23" formatCode="0.0">
                  <c:v>5</c:v>
                </c:pt>
                <c:pt idx="24" formatCode="0.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9-4784-A785-75F3F067115B}"/>
            </c:ext>
          </c:extLst>
        </c:ser>
        <c:ser>
          <c:idx val="3"/>
          <c:order val="1"/>
          <c:tx>
            <c:strRef>
              <c:f>'Annual Reservoir Trends'!$B$20</c:f>
              <c:strCache>
                <c:ptCount val="1"/>
                <c:pt idx="0">
                  <c:v>Bottom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cat>
            <c:numRef>
              <c:f>'Annual Reservoir Trends'!$C$3:$AC$3</c:f>
              <c:numCache>
                <c:formatCode>0</c:formatCode>
                <c:ptCount val="27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</c:numCache>
            </c:numRef>
          </c:cat>
          <c:val>
            <c:numRef>
              <c:f>'Annual Reservoir Trends'!$C$20:$AB$20</c:f>
              <c:numCache>
                <c:formatCode>#,##0</c:formatCode>
                <c:ptCount val="26"/>
                <c:pt idx="0">
                  <c:v>19</c:v>
                </c:pt>
                <c:pt idx="1">
                  <c:v>8</c:v>
                </c:pt>
                <c:pt idx="2">
                  <c:v>5</c:v>
                </c:pt>
                <c:pt idx="3">
                  <c:v>9</c:v>
                </c:pt>
                <c:pt idx="4">
                  <c:v>13</c:v>
                </c:pt>
                <c:pt idx="5">
                  <c:v>7</c:v>
                </c:pt>
                <c:pt idx="6">
                  <c:v>22</c:v>
                </c:pt>
                <c:pt idx="7">
                  <c:v>12</c:v>
                </c:pt>
                <c:pt idx="8">
                  <c:v>12</c:v>
                </c:pt>
                <c:pt idx="9">
                  <c:v>8</c:v>
                </c:pt>
                <c:pt idx="10">
                  <c:v>10</c:v>
                </c:pt>
                <c:pt idx="11">
                  <c:v>5</c:v>
                </c:pt>
                <c:pt idx="12">
                  <c:v>8</c:v>
                </c:pt>
                <c:pt idx="13">
                  <c:v>9</c:v>
                </c:pt>
                <c:pt idx="14" formatCode="0.0">
                  <c:v>7.4459215686274529</c:v>
                </c:pt>
                <c:pt idx="15" formatCode="0.0">
                  <c:v>10.296394771241831</c:v>
                </c:pt>
                <c:pt idx="16" formatCode="0.0">
                  <c:v>6.033309794757165</c:v>
                </c:pt>
                <c:pt idx="17" formatCode="0.0">
                  <c:v>20.9</c:v>
                </c:pt>
                <c:pt idx="18" formatCode="0.0">
                  <c:v>10</c:v>
                </c:pt>
                <c:pt idx="19" formatCode="0.0">
                  <c:v>8.9</c:v>
                </c:pt>
                <c:pt idx="20" formatCode="0.0">
                  <c:v>10.5</c:v>
                </c:pt>
                <c:pt idx="21" formatCode="0.0">
                  <c:v>13.4</c:v>
                </c:pt>
                <c:pt idx="22" formatCode="0.0">
                  <c:v>10.7</c:v>
                </c:pt>
                <c:pt idx="23" formatCode="0.0">
                  <c:v>10</c:v>
                </c:pt>
                <c:pt idx="24" formatCode="0.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39-4784-A785-75F3F0671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277888"/>
        <c:axId val="106312448"/>
      </c:barChart>
      <c:catAx>
        <c:axId val="1062778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31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31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77888"/>
        <c:crosses val="autoZero"/>
        <c:crossBetween val="between"/>
      </c:valAx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41751939599551"/>
          <c:y val="0.16149833122712701"/>
          <c:w val="0.32548787679076008"/>
          <c:h val="0.10820128965361477"/>
        </c:manualLayout>
      </c:layout>
      <c:overlay val="0"/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2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2019 Total Phosphorus Bear Creek Watershed</a:t>
            </a:r>
          </a:p>
        </c:rich>
      </c:tx>
      <c:layout>
        <c:manualLayout>
          <c:xMode val="edge"/>
          <c:yMode val="edge"/>
          <c:x val="0.39156360846268018"/>
          <c:y val="2.60042420627741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1"/>
          <c:tx>
            <c:strRef>
              <c:f>'T Phosphorus'!$A$16</c:f>
              <c:strCache>
                <c:ptCount val="1"/>
                <c:pt idx="0">
                  <c:v>Site 16a-Turkey Creek Inflow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'T Phosphorus'!$B$15:$M$15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 Phosphorus'!$B$16:$M$16</c:f>
              <c:numCache>
                <c:formatCode>0.0</c:formatCode>
                <c:ptCount val="12"/>
                <c:pt idx="0">
                  <c:v>2</c:v>
                </c:pt>
                <c:pt idx="1">
                  <c:v>6</c:v>
                </c:pt>
                <c:pt idx="2">
                  <c:v>21</c:v>
                </c:pt>
                <c:pt idx="3">
                  <c:v>96</c:v>
                </c:pt>
                <c:pt idx="4">
                  <c:v>7</c:v>
                </c:pt>
                <c:pt idx="5">
                  <c:v>28</c:v>
                </c:pt>
                <c:pt idx="6">
                  <c:v>18.5</c:v>
                </c:pt>
                <c:pt idx="7">
                  <c:v>88</c:v>
                </c:pt>
                <c:pt idx="8">
                  <c:v>12</c:v>
                </c:pt>
                <c:pt idx="9">
                  <c:v>13</c:v>
                </c:pt>
                <c:pt idx="10">
                  <c:v>6</c:v>
                </c:pt>
                <c:pt idx="1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6F-4768-AE6B-46D2A3133848}"/>
            </c:ext>
          </c:extLst>
        </c:ser>
        <c:ser>
          <c:idx val="3"/>
          <c:order val="2"/>
          <c:tx>
            <c:strRef>
              <c:f>'T Phosphorus'!$A$17</c:f>
              <c:strCache>
                <c:ptCount val="1"/>
                <c:pt idx="0">
                  <c:v>Site 15a-Bear Creek Inflow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'T Phosphorus'!$B$15:$M$15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 Phosphorus'!$B$17:$M$17</c:f>
              <c:numCache>
                <c:formatCode>0.0</c:formatCode>
                <c:ptCount val="12"/>
                <c:pt idx="0">
                  <c:v>19</c:v>
                </c:pt>
                <c:pt idx="1">
                  <c:v>21</c:v>
                </c:pt>
                <c:pt idx="2">
                  <c:v>37</c:v>
                </c:pt>
                <c:pt idx="3">
                  <c:v>19</c:v>
                </c:pt>
                <c:pt idx="4">
                  <c:v>25</c:v>
                </c:pt>
                <c:pt idx="5">
                  <c:v>50</c:v>
                </c:pt>
                <c:pt idx="6">
                  <c:v>38</c:v>
                </c:pt>
                <c:pt idx="7">
                  <c:v>52</c:v>
                </c:pt>
                <c:pt idx="8">
                  <c:v>93.5</c:v>
                </c:pt>
                <c:pt idx="9">
                  <c:v>23</c:v>
                </c:pt>
                <c:pt idx="10">
                  <c:v>16</c:v>
                </c:pt>
                <c:pt idx="1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6F-4768-AE6B-46D2A3133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270400"/>
        <c:axId val="115271936"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70400"/>
        <c:axId val="1152719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 Phosphorus'!$A$18</c15:sqref>
                        </c15:formulaRef>
                      </c:ext>
                    </c:extLst>
                    <c:strCache>
                      <c:ptCount val="1"/>
                      <c:pt idx="0">
                        <c:v>Site 45-Reservoir Discharge</c:v>
                      </c:pt>
                    </c:strCache>
                  </c:strRef>
                </c:tx>
                <c:spPr>
                  <a:ln w="34925" cap="rnd">
                    <a:solidFill>
                      <a:schemeClr val="accent1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circle"/>
                  <c:size val="6"/>
                  <c:spPr>
                    <a:gradFill rotWithShape="1">
                      <a:gsLst>
                        <a:gs pos="0">
                          <a:schemeClr val="accent1">
                            <a:shade val="51000"/>
                            <a:satMod val="130000"/>
                          </a:schemeClr>
                        </a:gs>
                        <a:gs pos="80000">
                          <a:schemeClr val="accent1">
                            <a:shade val="93000"/>
                            <a:satMod val="130000"/>
                          </a:schemeClr>
                        </a:gs>
                        <a:gs pos="100000">
                          <a:schemeClr val="accent1">
                            <a:shade val="94000"/>
                            <a:satMod val="135000"/>
                          </a:schemeClr>
                        </a:gs>
                      </a:gsLst>
                      <a:lin ang="16200000" scaled="0"/>
                    </a:gradFill>
                    <a:ln w="9525">
                      <a:solidFill>
                        <a:schemeClr val="accent1"/>
                      </a:solidFill>
                      <a:round/>
                    </a:ln>
                    <a:effectLst>
                      <a:outerShdw blurRad="40000" dist="23000" dir="5400000" rotWithShape="0">
                        <a:srgbClr val="000000">
                          <a:alpha val="35000"/>
                        </a:srgbClr>
                      </a:outerShdw>
                    </a:effectLst>
                    <a:scene3d>
                      <a:camera prst="orthographicFront">
                        <a:rot lat="0" lon="0" rev="0"/>
                      </a:camera>
                      <a:lightRig rig="threePt" dir="t">
                        <a:rot lat="0" lon="0" rev="1200000"/>
                      </a:lightRig>
                    </a:scene3d>
                    <a:sp3d>
                      <a:bevelT w="63500" h="25400"/>
                    </a:sp3d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 Phosphorus'!$B$15:$M$15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 Phosphorus'!$B$18:$M$18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37</c:v>
                      </c:pt>
                      <c:pt idx="1">
                        <c:v>47</c:v>
                      </c:pt>
                      <c:pt idx="2">
                        <c:v>37</c:v>
                      </c:pt>
                      <c:pt idx="3">
                        <c:v>49</c:v>
                      </c:pt>
                      <c:pt idx="4">
                        <c:v>28</c:v>
                      </c:pt>
                      <c:pt idx="5">
                        <c:v>24</c:v>
                      </c:pt>
                      <c:pt idx="6">
                        <c:v>28.5</c:v>
                      </c:pt>
                      <c:pt idx="7">
                        <c:v>43.5</c:v>
                      </c:pt>
                      <c:pt idx="8">
                        <c:v>45</c:v>
                      </c:pt>
                      <c:pt idx="9">
                        <c:v>33</c:v>
                      </c:pt>
                      <c:pt idx="10">
                        <c:v>21</c:v>
                      </c:pt>
                      <c:pt idx="11">
                        <c:v>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A6F-4768-AE6B-46D2A3133848}"/>
                  </c:ext>
                </c:extLst>
              </c15:ser>
            </c15:filteredLineSeries>
            <c15:filteredLineSeries>
              <c15:ser>
                <c:idx val="1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 Phosphorus'!$A$22</c15:sqref>
                        </c15:formulaRef>
                      </c:ext>
                    </c:extLst>
                    <c:strCache>
                      <c:ptCount val="1"/>
                      <c:pt idx="0">
                        <c:v>BCR Water Column Average TP</c:v>
                      </c:pt>
                    </c:strCache>
                  </c:strRef>
                </c:tx>
                <c:spPr>
                  <a:ln w="34925" cap="rnd">
                    <a:solidFill>
                      <a:schemeClr val="accent2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circle"/>
                  <c:size val="6"/>
                  <c:spPr>
                    <a:gradFill rotWithShape="1">
                      <a:gsLst>
                        <a:gs pos="0">
                          <a:schemeClr val="accent2">
                            <a:shade val="51000"/>
                            <a:satMod val="130000"/>
                          </a:schemeClr>
                        </a:gs>
                        <a:gs pos="80000">
                          <a:schemeClr val="accent2">
                            <a:shade val="93000"/>
                            <a:satMod val="130000"/>
                          </a:schemeClr>
                        </a:gs>
                        <a:gs pos="100000">
                          <a:schemeClr val="accent2">
                            <a:shade val="94000"/>
                            <a:satMod val="135000"/>
                          </a:schemeClr>
                        </a:gs>
                      </a:gsLst>
                      <a:lin ang="16200000" scaled="0"/>
                    </a:gradFill>
                    <a:ln w="9525">
                      <a:solidFill>
                        <a:schemeClr val="accent2"/>
                      </a:solidFill>
                      <a:round/>
                    </a:ln>
                    <a:effectLst>
                      <a:outerShdw blurRad="40000" dist="23000" dir="5400000" rotWithShape="0">
                        <a:srgbClr val="000000">
                          <a:alpha val="35000"/>
                        </a:srgbClr>
                      </a:outerShdw>
                    </a:effectLst>
                    <a:scene3d>
                      <a:camera prst="orthographicFront">
                        <a:rot lat="0" lon="0" rev="0"/>
                      </a:camera>
                      <a:lightRig rig="threePt" dir="t">
                        <a:rot lat="0" lon="0" rev="1200000"/>
                      </a:lightRig>
                    </a:scene3d>
                    <a:sp3d>
                      <a:bevelT w="63500" h="25400"/>
                    </a:sp3d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 Phosphorus'!$B$22:$M$22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48</c:v>
                      </c:pt>
                      <c:pt idx="1">
                        <c:v>58.5</c:v>
                      </c:pt>
                      <c:pt idx="2">
                        <c:v>34.5</c:v>
                      </c:pt>
                      <c:pt idx="3">
                        <c:v>75.5</c:v>
                      </c:pt>
                      <c:pt idx="4">
                        <c:v>21.5</c:v>
                      </c:pt>
                      <c:pt idx="5">
                        <c:v>39.5</c:v>
                      </c:pt>
                      <c:pt idx="6">
                        <c:v>160.5</c:v>
                      </c:pt>
                      <c:pt idx="7">
                        <c:v>63.25</c:v>
                      </c:pt>
                      <c:pt idx="8">
                        <c:v>45</c:v>
                      </c:pt>
                      <c:pt idx="9">
                        <c:v>62.5</c:v>
                      </c:pt>
                      <c:pt idx="10">
                        <c:v>34</c:v>
                      </c:pt>
                      <c:pt idx="11">
                        <c:v>122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A6F-4768-AE6B-46D2A3133848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 Phosphorus'!$A$19</c15:sqref>
                        </c15:formulaRef>
                      </c:ext>
                    </c:extLst>
                    <c:strCache>
                      <c:ptCount val="1"/>
                      <c:pt idx="0">
                        <c:v>Site 90 - Lower Bear Creek</c:v>
                      </c:pt>
                    </c:strCache>
                  </c:strRef>
                </c:tx>
                <c:spPr>
                  <a:ln w="34925" cap="rnd">
                    <a:solidFill>
                      <a:schemeClr val="accent5"/>
                    </a:solidFill>
                    <a:round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</c:spPr>
                <c:marker>
                  <c:symbol val="circle"/>
                  <c:size val="6"/>
                  <c:spPr>
                    <a:gradFill rotWithShape="1">
                      <a:gsLst>
                        <a:gs pos="0">
                          <a:schemeClr val="accent5">
                            <a:shade val="51000"/>
                            <a:satMod val="130000"/>
                          </a:schemeClr>
                        </a:gs>
                        <a:gs pos="80000">
                          <a:schemeClr val="accent5">
                            <a:shade val="93000"/>
                            <a:satMod val="130000"/>
                          </a:schemeClr>
                        </a:gs>
                        <a:gs pos="100000">
                          <a:schemeClr val="accent5">
                            <a:shade val="94000"/>
                            <a:satMod val="135000"/>
                          </a:schemeClr>
                        </a:gs>
                      </a:gsLst>
                      <a:lin ang="16200000" scaled="0"/>
                    </a:gradFill>
                    <a:ln w="9525">
                      <a:solidFill>
                        <a:schemeClr val="accent5"/>
                      </a:solidFill>
                      <a:round/>
                    </a:ln>
                    <a:effectLst>
                      <a:outerShdw blurRad="40000" dist="23000" dir="5400000" rotWithShape="0">
                        <a:srgbClr val="000000">
                          <a:alpha val="35000"/>
                        </a:srgbClr>
                      </a:outerShdw>
                    </a:effectLst>
                    <a:scene3d>
                      <a:camera prst="orthographicFront">
                        <a:rot lat="0" lon="0" rev="0"/>
                      </a:camera>
                      <a:lightRig rig="threePt" dir="t">
                        <a:rot lat="0" lon="0" rev="1200000"/>
                      </a:lightRig>
                    </a:scene3d>
                    <a:sp3d>
                      <a:bevelT w="63500" h="25400"/>
                    </a:sp3d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 Phosphorus'!$B$19:$M$19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44</c:v>
                      </c:pt>
                      <c:pt idx="1">
                        <c:v>28</c:v>
                      </c:pt>
                      <c:pt idx="2">
                        <c:v>30</c:v>
                      </c:pt>
                      <c:pt idx="3">
                        <c:v>71</c:v>
                      </c:pt>
                      <c:pt idx="4">
                        <c:v>17</c:v>
                      </c:pt>
                      <c:pt idx="5">
                        <c:v>35</c:v>
                      </c:pt>
                      <c:pt idx="6">
                        <c:v>60.5</c:v>
                      </c:pt>
                      <c:pt idx="7">
                        <c:v>48</c:v>
                      </c:pt>
                      <c:pt idx="8">
                        <c:v>100</c:v>
                      </c:pt>
                      <c:pt idx="9">
                        <c:v>18</c:v>
                      </c:pt>
                      <c:pt idx="10">
                        <c:v>21</c:v>
                      </c:pt>
                      <c:pt idx="11">
                        <c:v>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2E0E-4562-AEF3-2D82852DA911}"/>
                  </c:ext>
                </c:extLst>
              </c15:ser>
            </c15:filteredLineSeries>
          </c:ext>
        </c:extLst>
      </c:lineChart>
      <c:catAx>
        <c:axId val="11527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7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27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Phosphorus ug/l</a:t>
                </a:r>
              </a:p>
            </c:rich>
          </c:tx>
          <c:layout>
            <c:manualLayout>
              <c:xMode val="edge"/>
              <c:yMode val="edge"/>
              <c:x val="0.13524590163934441"/>
              <c:y val="0.234105991654527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704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2019 Bear Creek Reservoir Total Phosphorus Trends</a:t>
            </a:r>
          </a:p>
        </c:rich>
      </c:tx>
      <c:layout>
        <c:manualLayout>
          <c:xMode val="edge"/>
          <c:yMode val="edge"/>
          <c:x val="0.28038455287962505"/>
          <c:y val="2.9392610539067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854409001432931"/>
          <c:y val="0.11874999999999998"/>
          <c:w val="0.72797098031228058"/>
          <c:h val="0.704753677994200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 Phosphorus'!$A$22</c:f>
              <c:strCache>
                <c:ptCount val="1"/>
                <c:pt idx="0">
                  <c:v>BCR Water Column Average TP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'T Phosphorus'!$B$15:$M$15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 Phosphorus'!$B$22:$M$22</c:f>
              <c:numCache>
                <c:formatCode>0.0</c:formatCode>
                <c:ptCount val="12"/>
                <c:pt idx="0">
                  <c:v>48</c:v>
                </c:pt>
                <c:pt idx="1">
                  <c:v>58.5</c:v>
                </c:pt>
                <c:pt idx="2">
                  <c:v>34.5</c:v>
                </c:pt>
                <c:pt idx="3">
                  <c:v>75.5</c:v>
                </c:pt>
                <c:pt idx="4">
                  <c:v>21.5</c:v>
                </c:pt>
                <c:pt idx="5">
                  <c:v>39.5</c:v>
                </c:pt>
                <c:pt idx="6">
                  <c:v>160.5</c:v>
                </c:pt>
                <c:pt idx="7">
                  <c:v>63.25</c:v>
                </c:pt>
                <c:pt idx="8">
                  <c:v>45</c:v>
                </c:pt>
                <c:pt idx="9">
                  <c:v>62.5</c:v>
                </c:pt>
                <c:pt idx="10">
                  <c:v>34</c:v>
                </c:pt>
                <c:pt idx="11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D-4896-A422-B67E442F4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196288"/>
        <c:axId val="115197824"/>
      </c:barChart>
      <c:catAx>
        <c:axId val="11519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9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19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Phosphorus, ug/l</a:t>
                </a:r>
              </a:p>
            </c:rich>
          </c:tx>
          <c:layout>
            <c:manualLayout>
              <c:xMode val="edge"/>
              <c:yMode val="edge"/>
              <c:x val="0.12784090909090909"/>
              <c:y val="0.353413023207641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962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2019 Total Nitrogen Bear Creek Watershed</a:t>
            </a:r>
          </a:p>
        </c:rich>
      </c:tx>
      <c:layout>
        <c:manualLayout>
          <c:xMode val="edge"/>
          <c:yMode val="edge"/>
          <c:x val="0.39156360846268018"/>
          <c:y val="2.60042420627741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 Nitrogen'!$A$16</c:f>
              <c:strCache>
                <c:ptCount val="1"/>
                <c:pt idx="0">
                  <c:v>Site 16a-Turkey Creek Inflow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'T Nitrogen'!$B$15:$M$15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 Nitrogen'!$B$16:$M$16</c:f>
              <c:numCache>
                <c:formatCode>0</c:formatCode>
                <c:ptCount val="12"/>
                <c:pt idx="0">
                  <c:v>830</c:v>
                </c:pt>
                <c:pt idx="1">
                  <c:v>752</c:v>
                </c:pt>
                <c:pt idx="2">
                  <c:v>900</c:v>
                </c:pt>
                <c:pt idx="3">
                  <c:v>667</c:v>
                </c:pt>
                <c:pt idx="4">
                  <c:v>625</c:v>
                </c:pt>
                <c:pt idx="5">
                  <c:v>463</c:v>
                </c:pt>
                <c:pt idx="6">
                  <c:v>562</c:v>
                </c:pt>
                <c:pt idx="7">
                  <c:v>585.5</c:v>
                </c:pt>
                <c:pt idx="8">
                  <c:v>760.5</c:v>
                </c:pt>
                <c:pt idx="9">
                  <c:v>725</c:v>
                </c:pt>
                <c:pt idx="10">
                  <c:v>404</c:v>
                </c:pt>
                <c:pt idx="11">
                  <c:v>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9F-4603-B61E-27443A3EAAAE}"/>
            </c:ext>
          </c:extLst>
        </c:ser>
        <c:ser>
          <c:idx val="1"/>
          <c:order val="1"/>
          <c:tx>
            <c:strRef>
              <c:f>'T Nitrogen'!$A$17</c:f>
              <c:strCache>
                <c:ptCount val="1"/>
                <c:pt idx="0">
                  <c:v>Site 15a-Bear Creek Inflow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'T Nitrogen'!$B$15:$M$15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 Nitrogen'!$B$17:$M$17</c:f>
              <c:numCache>
                <c:formatCode>0</c:formatCode>
                <c:ptCount val="12"/>
                <c:pt idx="0">
                  <c:v>2028</c:v>
                </c:pt>
                <c:pt idx="1">
                  <c:v>1378</c:v>
                </c:pt>
                <c:pt idx="2">
                  <c:v>1534</c:v>
                </c:pt>
                <c:pt idx="3">
                  <c:v>824</c:v>
                </c:pt>
                <c:pt idx="4">
                  <c:v>674</c:v>
                </c:pt>
                <c:pt idx="5">
                  <c:v>446</c:v>
                </c:pt>
                <c:pt idx="6">
                  <c:v>367.5</c:v>
                </c:pt>
                <c:pt idx="7">
                  <c:v>476</c:v>
                </c:pt>
                <c:pt idx="8">
                  <c:v>627.5</c:v>
                </c:pt>
                <c:pt idx="9">
                  <c:v>613</c:v>
                </c:pt>
                <c:pt idx="10">
                  <c:v>718</c:v>
                </c:pt>
                <c:pt idx="11">
                  <c:v>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9F-4603-B61E-27443A3EA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270400"/>
        <c:axId val="115271936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'T Nitrogen'!$A$18</c15:sqref>
                        </c15:formulaRef>
                      </c:ext>
                    </c:extLst>
                    <c:strCache>
                      <c:ptCount val="1"/>
                      <c:pt idx="0">
                        <c:v>Site 45-Reservoir Discharge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shade val="51000"/>
                          <a:satMod val="130000"/>
                        </a:schemeClr>
                      </a:gs>
                      <a:gs pos="80000">
                        <a:schemeClr val="accent3">
                          <a:shade val="93000"/>
                          <a:satMod val="130000"/>
                        </a:schemeClr>
                      </a:gs>
                      <a:gs pos="100000">
                        <a:schemeClr val="accent3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'T Nitrogen'!$B$15:$M$15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 Nitrogen'!$B$18:$M$18</c15:sqref>
                        </c15:formulaRef>
                      </c:ext>
                    </c:extLst>
                    <c:numCache>
                      <c:formatCode>0</c:formatCode>
                      <c:ptCount val="12"/>
                      <c:pt idx="0">
                        <c:v>926</c:v>
                      </c:pt>
                      <c:pt idx="1">
                        <c:v>1350</c:v>
                      </c:pt>
                      <c:pt idx="2">
                        <c:v>1143</c:v>
                      </c:pt>
                      <c:pt idx="3">
                        <c:v>799</c:v>
                      </c:pt>
                      <c:pt idx="4">
                        <c:v>811</c:v>
                      </c:pt>
                      <c:pt idx="5">
                        <c:v>521</c:v>
                      </c:pt>
                      <c:pt idx="6">
                        <c:v>391.5</c:v>
                      </c:pt>
                      <c:pt idx="7">
                        <c:v>469</c:v>
                      </c:pt>
                      <c:pt idx="8">
                        <c:v>559</c:v>
                      </c:pt>
                      <c:pt idx="9">
                        <c:v>371</c:v>
                      </c:pt>
                      <c:pt idx="10">
                        <c:v>426</c:v>
                      </c:pt>
                      <c:pt idx="11">
                        <c:v>474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F9F-4603-B61E-27443A3EAAA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 Nitrogen'!$A$19</c15:sqref>
                        </c15:formulaRef>
                      </c:ext>
                    </c:extLst>
                    <c:strCache>
                      <c:ptCount val="1"/>
                      <c:pt idx="0">
                        <c:v>Site 90 - Lower Bear Creek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4">
                          <a:shade val="51000"/>
                          <a:satMod val="130000"/>
                        </a:schemeClr>
                      </a:gs>
                      <a:gs pos="80000">
                        <a:schemeClr val="accent4">
                          <a:shade val="93000"/>
                          <a:satMod val="130000"/>
                        </a:schemeClr>
                      </a:gs>
                      <a:gs pos="100000">
                        <a:schemeClr val="accent4"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 Nitrogen'!$B$15:$M$15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 Nitrogen'!$B$19:$M$19</c15:sqref>
                        </c15:formulaRef>
                      </c:ext>
                    </c:extLst>
                    <c:numCache>
                      <c:formatCode>0</c:formatCode>
                      <c:ptCount val="12"/>
                      <c:pt idx="0">
                        <c:v>1442</c:v>
                      </c:pt>
                      <c:pt idx="1">
                        <c:v>1542</c:v>
                      </c:pt>
                      <c:pt idx="2">
                        <c:v>1136</c:v>
                      </c:pt>
                      <c:pt idx="3">
                        <c:v>884</c:v>
                      </c:pt>
                      <c:pt idx="4">
                        <c:v>624</c:v>
                      </c:pt>
                      <c:pt idx="5">
                        <c:v>522</c:v>
                      </c:pt>
                      <c:pt idx="6">
                        <c:v>547</c:v>
                      </c:pt>
                      <c:pt idx="7">
                        <c:v>505.5</c:v>
                      </c:pt>
                      <c:pt idx="8">
                        <c:v>795</c:v>
                      </c:pt>
                      <c:pt idx="9">
                        <c:v>650</c:v>
                      </c:pt>
                      <c:pt idx="10">
                        <c:v>779</c:v>
                      </c:pt>
                      <c:pt idx="11">
                        <c:v>835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F9F-4603-B61E-27443A3EAAAE}"/>
                  </c:ext>
                </c:extLst>
              </c15:ser>
            </c15:filteredBarSeries>
          </c:ext>
        </c:extLst>
      </c:barChart>
      <c:catAx>
        <c:axId val="11527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71936"/>
        <c:crosses val="autoZero"/>
        <c:auto val="1"/>
        <c:lblAlgn val="ctr"/>
        <c:lblOffset val="100"/>
        <c:noMultiLvlLbl val="0"/>
      </c:catAx>
      <c:valAx>
        <c:axId val="11527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Nitrogen, ug/l</a:t>
                </a:r>
              </a:p>
            </c:rich>
          </c:tx>
          <c:layout>
            <c:manualLayout>
              <c:xMode val="edge"/>
              <c:yMode val="edge"/>
              <c:x val="0.13524590163934441"/>
              <c:y val="0.234105991654527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704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2019 Bear Creek Reservoir Total Nitrogen Trends</a:t>
            </a:r>
          </a:p>
        </c:rich>
      </c:tx>
      <c:layout>
        <c:manualLayout>
          <c:xMode val="edge"/>
          <c:yMode val="edge"/>
          <c:x val="0.35182485815497516"/>
          <c:y val="2.6315789473684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30275907200607"/>
          <c:y val="0.11874999999999998"/>
          <c:w val="0.77321225011082728"/>
          <c:h val="0.704753677994200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 Nitrogen'!$A$22</c:f>
              <c:strCache>
                <c:ptCount val="1"/>
                <c:pt idx="0">
                  <c:v>Water Column TP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'T Nitrogen'!$B$15:$M$15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 Nitrogen'!$B$22:$M$22</c:f>
              <c:numCache>
                <c:formatCode>0</c:formatCode>
                <c:ptCount val="12"/>
                <c:pt idx="0">
                  <c:v>952.5</c:v>
                </c:pt>
                <c:pt idx="1">
                  <c:v>1460.5</c:v>
                </c:pt>
                <c:pt idx="2">
                  <c:v>1422.5</c:v>
                </c:pt>
                <c:pt idx="3">
                  <c:v>1025.5</c:v>
                </c:pt>
                <c:pt idx="4">
                  <c:v>746</c:v>
                </c:pt>
                <c:pt idx="5">
                  <c:v>625.5</c:v>
                </c:pt>
                <c:pt idx="6">
                  <c:v>376.25</c:v>
                </c:pt>
                <c:pt idx="7">
                  <c:v>541.5</c:v>
                </c:pt>
                <c:pt idx="8">
                  <c:v>484.5</c:v>
                </c:pt>
                <c:pt idx="9">
                  <c:v>529.5</c:v>
                </c:pt>
                <c:pt idx="10">
                  <c:v>598.5</c:v>
                </c:pt>
                <c:pt idx="11">
                  <c:v>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CC-4DB7-9556-DAA7A4A7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196288"/>
        <c:axId val="115197824"/>
      </c:barChart>
      <c:catAx>
        <c:axId val="11519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9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19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 Nitrogen, ug/l</a:t>
                </a:r>
              </a:p>
            </c:rich>
          </c:tx>
          <c:layout>
            <c:manualLayout>
              <c:xMode val="edge"/>
              <c:yMode val="edge"/>
              <c:x val="6.7519157290325302E-2"/>
              <c:y val="0.356814505329690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962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Chlorophyll-a Bear Creek Reservoir </a:t>
            </a:r>
          </a:p>
        </c:rich>
      </c:tx>
      <c:layout>
        <c:manualLayout>
          <c:xMode val="edge"/>
          <c:yMode val="edge"/>
          <c:x val="0.28942053572304"/>
          <c:y val="6.4990444155645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83671404095908"/>
          <c:y val="0.13058817399686082"/>
          <c:w val="0.8497114636318982"/>
          <c:h val="0.73015729199143753"/>
        </c:manualLayout>
      </c:layout>
      <c:areaChart>
        <c:grouping val="stacked"/>
        <c:varyColors val="0"/>
        <c:ser>
          <c:idx val="0"/>
          <c:order val="0"/>
          <c:tx>
            <c:strRef>
              <c:f>Chlsecchi!$A$3</c:f>
              <c:strCache>
                <c:ptCount val="1"/>
                <c:pt idx="0">
                  <c:v>Chlorophyll, ug/L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cat>
            <c:strRef>
              <c:f>Chlsecchi!$B$17:$M$17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Chlsecchi!$B$18:$M$18</c:f>
              <c:numCache>
                <c:formatCode>#,##0.0</c:formatCode>
                <c:ptCount val="12"/>
                <c:pt idx="0">
                  <c:v>20.149999999999999</c:v>
                </c:pt>
                <c:pt idx="1">
                  <c:v>19.3</c:v>
                </c:pt>
                <c:pt idx="2">
                  <c:v>13.75</c:v>
                </c:pt>
                <c:pt idx="3">
                  <c:v>15.9</c:v>
                </c:pt>
                <c:pt idx="4">
                  <c:v>1.8</c:v>
                </c:pt>
                <c:pt idx="5">
                  <c:v>8.9499999999999993</c:v>
                </c:pt>
                <c:pt idx="6">
                  <c:v>13.7</c:v>
                </c:pt>
                <c:pt idx="7">
                  <c:v>3.1749999999999998</c:v>
                </c:pt>
                <c:pt idx="8">
                  <c:v>24.8</c:v>
                </c:pt>
                <c:pt idx="9">
                  <c:v>26.65</c:v>
                </c:pt>
                <c:pt idx="10">
                  <c:v>25.25</c:v>
                </c:pt>
                <c:pt idx="11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F-416D-A7F7-328E3EB16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47168"/>
        <c:axId val="115848704"/>
      </c:areaChart>
      <c:lineChart>
        <c:grouping val="standard"/>
        <c:varyColors val="0"/>
        <c:ser>
          <c:idx val="1"/>
          <c:order val="1"/>
          <c:tx>
            <c:strRef>
              <c:f>Chlsecchi!$A$21</c:f>
              <c:strCache>
                <c:ptCount val="1"/>
                <c:pt idx="0">
                  <c:v>Chlorophyll Standard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Chlsecchi!$B$21:$M$21</c:f>
              <c:numCache>
                <c:formatCode>#,##0.0</c:formatCode>
                <c:ptCount val="12"/>
                <c:pt idx="0">
                  <c:v>12.2</c:v>
                </c:pt>
                <c:pt idx="1">
                  <c:v>12.2</c:v>
                </c:pt>
                <c:pt idx="2">
                  <c:v>12.2</c:v>
                </c:pt>
                <c:pt idx="3">
                  <c:v>12.2</c:v>
                </c:pt>
                <c:pt idx="4">
                  <c:v>12.2</c:v>
                </c:pt>
                <c:pt idx="5">
                  <c:v>12.2</c:v>
                </c:pt>
                <c:pt idx="6">
                  <c:v>12.2</c:v>
                </c:pt>
                <c:pt idx="7">
                  <c:v>12.2</c:v>
                </c:pt>
                <c:pt idx="8">
                  <c:v>12.2</c:v>
                </c:pt>
                <c:pt idx="9">
                  <c:v>12.2</c:v>
                </c:pt>
                <c:pt idx="10">
                  <c:v>12.2</c:v>
                </c:pt>
                <c:pt idx="11">
                  <c:v>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A-4AAE-BAB5-E29A0CC3C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47168"/>
        <c:axId val="115848704"/>
      </c:lineChart>
      <c:catAx>
        <c:axId val="11584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4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84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Chlorophyll-a (ug/l)</a:t>
                </a:r>
              </a:p>
            </c:rich>
          </c:tx>
          <c:layout>
            <c:manualLayout>
              <c:xMode val="edge"/>
              <c:yMode val="edge"/>
              <c:x val="1.8634028440128327E-2"/>
              <c:y val="0.228687154957501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47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3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Secchi Depth Bear Creek Reservoir</a:t>
            </a:r>
          </a:p>
        </c:rich>
      </c:tx>
      <c:layout>
        <c:manualLayout>
          <c:xMode val="edge"/>
          <c:yMode val="edge"/>
          <c:x val="0.2990808676682743"/>
          <c:y val="3.164527203536689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53717842584651"/>
          <c:y val="0.19847858105757338"/>
          <c:w val="0.85262054183255886"/>
          <c:h val="0.678654316143641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Chlsecchi!$A$19</c:f>
              <c:strCache>
                <c:ptCount val="1"/>
                <c:pt idx="0">
                  <c:v>Secchi (ft)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Chlsecchi!$B$17:$M$17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Chlsecchi!$B$19:$M$19</c:f>
              <c:numCache>
                <c:formatCode>0.0</c:formatCode>
                <c:ptCount val="12"/>
                <c:pt idx="0">
                  <c:v>2.6240000000000001</c:v>
                </c:pt>
                <c:pt idx="1">
                  <c:v>3.5533333333333328</c:v>
                </c:pt>
                <c:pt idx="2">
                  <c:v>3.6080000000000001</c:v>
                </c:pt>
                <c:pt idx="3">
                  <c:v>3.3346666666666662</c:v>
                </c:pt>
                <c:pt idx="4">
                  <c:v>10.605333333333331</c:v>
                </c:pt>
                <c:pt idx="5">
                  <c:v>5.5213333333333336</c:v>
                </c:pt>
                <c:pt idx="6">
                  <c:v>5.33</c:v>
                </c:pt>
                <c:pt idx="7">
                  <c:v>5.384666666666666</c:v>
                </c:pt>
                <c:pt idx="8">
                  <c:v>2.7880000000000003</c:v>
                </c:pt>
                <c:pt idx="9">
                  <c:v>2.952</c:v>
                </c:pt>
                <c:pt idx="10">
                  <c:v>3.28</c:v>
                </c:pt>
                <c:pt idx="11">
                  <c:v>11.479999999999999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3C-44E7-89BE-6CF9CC53C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864704"/>
        <c:axId val="115866240"/>
      </c:barChart>
      <c:lineChart>
        <c:grouping val="standard"/>
        <c:varyColors val="0"/>
        <c:ser>
          <c:idx val="1"/>
          <c:order val="1"/>
          <c:tx>
            <c:strRef>
              <c:f>Chlsecchi!$A$22</c:f>
              <c:strCache>
                <c:ptCount val="1"/>
                <c:pt idx="0">
                  <c:v>Secchi Target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Chlsecchi!$B$22:$M$23</c:f>
              <c:strCache>
                <c:ptCount val="1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strCache>
            </c:strRef>
          </c:cat>
          <c:val>
            <c:numRef>
              <c:f>Chlsecchi!$B$22:$M$22</c:f>
              <c:numCache>
                <c:formatCode>#,##0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E7-4B0D-9245-D12F6B489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64704"/>
        <c:axId val="115866240"/>
      </c:lineChart>
      <c:catAx>
        <c:axId val="11586470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66240"/>
        <c:crosses val="autoZero"/>
        <c:auto val="1"/>
        <c:lblAlgn val="ctr"/>
        <c:lblOffset val="100"/>
        <c:noMultiLvlLbl val="0"/>
      </c:catAx>
      <c:valAx>
        <c:axId val="11586624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Secchi Depth (feet)</a:t>
                </a:r>
              </a:p>
            </c:rich>
          </c:tx>
          <c:layout>
            <c:manualLayout>
              <c:xMode val="edge"/>
              <c:yMode val="edge"/>
              <c:x val="1.7452416968351508E-2"/>
              <c:y val="0.321221748962206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6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2" verticalDpi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Phosphorus BCR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998469727374345E-2"/>
          <c:y val="0.14324279262664905"/>
          <c:w val="0.89136850984255223"/>
          <c:h val="0.62602050353635497"/>
        </c:manualLayout>
      </c:layout>
      <c:lineChart>
        <c:grouping val="standard"/>
        <c:varyColors val="0"/>
        <c:ser>
          <c:idx val="0"/>
          <c:order val="0"/>
          <c:tx>
            <c:strRef>
              <c:f>'P1 Summary'!$A$8:$A$10</c:f>
              <c:strCache>
                <c:ptCount val="1"/>
                <c:pt idx="0">
                  <c:v>BCR Top, Site 40a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'P1 Summary'!$C$2:$Q$2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'P1 Summary'!$C$9:$Q$9</c:f>
              <c:numCache>
                <c:formatCode>General</c:formatCode>
                <c:ptCount val="15"/>
                <c:pt idx="0">
                  <c:v>31</c:v>
                </c:pt>
                <c:pt idx="1">
                  <c:v>79</c:v>
                </c:pt>
                <c:pt idx="2">
                  <c:v>27</c:v>
                </c:pt>
                <c:pt idx="3">
                  <c:v>58</c:v>
                </c:pt>
                <c:pt idx="4">
                  <c:v>18</c:v>
                </c:pt>
                <c:pt idx="5">
                  <c:v>31</c:v>
                </c:pt>
                <c:pt idx="6">
                  <c:v>25</c:v>
                </c:pt>
                <c:pt idx="7">
                  <c:v>23</c:v>
                </c:pt>
                <c:pt idx="8">
                  <c:v>38</c:v>
                </c:pt>
                <c:pt idx="9">
                  <c:v>46</c:v>
                </c:pt>
                <c:pt idx="10">
                  <c:v>44</c:v>
                </c:pt>
                <c:pt idx="11">
                  <c:v>27</c:v>
                </c:pt>
                <c:pt idx="12">
                  <c:v>64</c:v>
                </c:pt>
                <c:pt idx="13">
                  <c:v>31</c:v>
                </c:pt>
                <c:pt idx="14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05A-4D17-9756-BEEC14513399}"/>
            </c:ext>
          </c:extLst>
        </c:ser>
        <c:ser>
          <c:idx val="1"/>
          <c:order val="1"/>
          <c:tx>
            <c:strRef>
              <c:f>'P1 Summary'!$B$20</c:f>
              <c:strCache>
                <c:ptCount val="1"/>
                <c:pt idx="0">
                  <c:v>Phosphorus Standard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'P1 Summary'!$C$20:$Q$20</c:f>
              <c:numCache>
                <c:formatCode>#,##0.0</c:formatCode>
                <c:ptCount val="15"/>
                <c:pt idx="0">
                  <c:v>22.2</c:v>
                </c:pt>
                <c:pt idx="1">
                  <c:v>22.2</c:v>
                </c:pt>
                <c:pt idx="2">
                  <c:v>22.2</c:v>
                </c:pt>
                <c:pt idx="3">
                  <c:v>22.2</c:v>
                </c:pt>
                <c:pt idx="4">
                  <c:v>22.2</c:v>
                </c:pt>
                <c:pt idx="5">
                  <c:v>22.2</c:v>
                </c:pt>
                <c:pt idx="6">
                  <c:v>22.2</c:v>
                </c:pt>
                <c:pt idx="7">
                  <c:v>22.2</c:v>
                </c:pt>
                <c:pt idx="8">
                  <c:v>22.2</c:v>
                </c:pt>
                <c:pt idx="9">
                  <c:v>22.2</c:v>
                </c:pt>
                <c:pt idx="10">
                  <c:v>22.2</c:v>
                </c:pt>
                <c:pt idx="11">
                  <c:v>22.2</c:v>
                </c:pt>
                <c:pt idx="12">
                  <c:v>22.2</c:v>
                </c:pt>
                <c:pt idx="13">
                  <c:v>22.2</c:v>
                </c:pt>
                <c:pt idx="14">
                  <c:v>22.2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15-4AD0-A784-E02A7DFC2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014464"/>
        <c:axId val="116049024"/>
      </c:lineChart>
      <c:dateAx>
        <c:axId val="116014464"/>
        <c:scaling>
          <c:orientation val="minMax"/>
        </c:scaling>
        <c:delete val="0"/>
        <c:axPos val="b"/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49024"/>
        <c:crosses val="autoZero"/>
        <c:auto val="1"/>
        <c:lblOffset val="100"/>
        <c:baseTimeUnit val="days"/>
        <c:majorUnit val="1"/>
        <c:majorTimeUnit val="months"/>
        <c:minorUnit val="15"/>
        <c:minorTimeUnit val="days"/>
      </c:dateAx>
      <c:valAx>
        <c:axId val="11604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Phosphorus ug/l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14464"/>
        <c:crossesAt val="40203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Chlorophyll Trend BCR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454149567755768E-2"/>
          <c:y val="0.15135816896792867"/>
          <c:w val="0.88545748937399327"/>
          <c:h val="0.64230524841612247"/>
        </c:manualLayout>
      </c:layout>
      <c:lineChart>
        <c:grouping val="standard"/>
        <c:varyColors val="0"/>
        <c:ser>
          <c:idx val="1"/>
          <c:order val="0"/>
          <c:tx>
            <c:strRef>
              <c:f>'P1 Summary'!$B$21</c:f>
              <c:strCache>
                <c:ptCount val="1"/>
                <c:pt idx="0">
                  <c:v>Chlorophyll Standard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'P1 Summary'!$C$2:$Q$2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'P1 Summary'!$C$21:$Q$21</c:f>
              <c:numCache>
                <c:formatCode>#,##0.0</c:formatCode>
                <c:ptCount val="15"/>
                <c:pt idx="0">
                  <c:v>12.2</c:v>
                </c:pt>
                <c:pt idx="1">
                  <c:v>12.2</c:v>
                </c:pt>
                <c:pt idx="2">
                  <c:v>12.2</c:v>
                </c:pt>
                <c:pt idx="3">
                  <c:v>12.2</c:v>
                </c:pt>
                <c:pt idx="4">
                  <c:v>12.2</c:v>
                </c:pt>
                <c:pt idx="5">
                  <c:v>12.2</c:v>
                </c:pt>
                <c:pt idx="6">
                  <c:v>12.2</c:v>
                </c:pt>
                <c:pt idx="7">
                  <c:v>12.2</c:v>
                </c:pt>
                <c:pt idx="8">
                  <c:v>12.2</c:v>
                </c:pt>
                <c:pt idx="9">
                  <c:v>12.2</c:v>
                </c:pt>
                <c:pt idx="10">
                  <c:v>12.2</c:v>
                </c:pt>
                <c:pt idx="11">
                  <c:v>12.2</c:v>
                </c:pt>
                <c:pt idx="12">
                  <c:v>12.2</c:v>
                </c:pt>
                <c:pt idx="13">
                  <c:v>12.2</c:v>
                </c:pt>
                <c:pt idx="14">
                  <c:v>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4-46F6-AB9A-86B867DAC205}"/>
            </c:ext>
          </c:extLst>
        </c:ser>
        <c:ser>
          <c:idx val="0"/>
          <c:order val="1"/>
          <c:tx>
            <c:strRef>
              <c:f>'P1 Summary'!$B$10</c:f>
              <c:strCache>
                <c:ptCount val="1"/>
                <c:pt idx="0">
                  <c:v>Chlorophyll a average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'P1 Summary'!$C$2:$Q$2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'P1 Summary'!$C$10:$Q$10</c:f>
              <c:numCache>
                <c:formatCode>0.0</c:formatCode>
                <c:ptCount val="15"/>
                <c:pt idx="0">
                  <c:v>20.149999999999999</c:v>
                </c:pt>
                <c:pt idx="1">
                  <c:v>19.3</c:v>
                </c:pt>
                <c:pt idx="2">
                  <c:v>13.75</c:v>
                </c:pt>
                <c:pt idx="3">
                  <c:v>15.9</c:v>
                </c:pt>
                <c:pt idx="4">
                  <c:v>1.8</c:v>
                </c:pt>
                <c:pt idx="5">
                  <c:v>8.9499999999999993</c:v>
                </c:pt>
                <c:pt idx="6">
                  <c:v>11.5</c:v>
                </c:pt>
                <c:pt idx="7">
                  <c:v>15.899999999999999</c:v>
                </c:pt>
                <c:pt idx="8">
                  <c:v>2.25</c:v>
                </c:pt>
                <c:pt idx="9">
                  <c:v>4.0999999999999996</c:v>
                </c:pt>
                <c:pt idx="10">
                  <c:v>31</c:v>
                </c:pt>
                <c:pt idx="11">
                  <c:v>18.600000000000001</c:v>
                </c:pt>
                <c:pt idx="12">
                  <c:v>26.65</c:v>
                </c:pt>
                <c:pt idx="13">
                  <c:v>25.25</c:v>
                </c:pt>
                <c:pt idx="14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0B-4ED0-B5B9-883334DDD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953024"/>
        <c:axId val="113958912"/>
      </c:lineChart>
      <c:dateAx>
        <c:axId val="113953024"/>
        <c:scaling>
          <c:orientation val="minMax"/>
        </c:scaling>
        <c:delete val="0"/>
        <c:axPos val="b"/>
        <c:numFmt formatCode="[$-409]mmmmm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958912"/>
        <c:crosses val="autoZero"/>
        <c:auto val="1"/>
        <c:lblOffset val="100"/>
        <c:baseTimeUnit val="days"/>
        <c:majorUnit val="30"/>
        <c:majorTimeUnit val="days"/>
        <c:minorUnit val="15"/>
        <c:minorTimeUnit val="days"/>
      </c:dateAx>
      <c:valAx>
        <c:axId val="11395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Chlorophyll ug/l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953024"/>
        <c:crossesAt val="40179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Bear Creek Reservoir 2019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781951550787238E-2"/>
          <c:y val="0.12280201461303822"/>
          <c:w val="0.88478385501297241"/>
          <c:h val="0.67521004469035961"/>
        </c:manualLayout>
      </c:layout>
      <c:lineChart>
        <c:grouping val="standard"/>
        <c:varyColors val="0"/>
        <c:ser>
          <c:idx val="3"/>
          <c:order val="0"/>
          <c:tx>
            <c:strRef>
              <c:f>'P1 Summary'!$B$21</c:f>
              <c:strCache>
                <c:ptCount val="1"/>
                <c:pt idx="0">
                  <c:v>Chlorophyll Standard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'P1 Summary'!$C$2:$Q$2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'P1 Summary'!$C$21:$Q$21</c:f>
              <c:numCache>
                <c:formatCode>#,##0.0</c:formatCode>
                <c:ptCount val="15"/>
                <c:pt idx="0">
                  <c:v>12.2</c:v>
                </c:pt>
                <c:pt idx="1">
                  <c:v>12.2</c:v>
                </c:pt>
                <c:pt idx="2">
                  <c:v>12.2</c:v>
                </c:pt>
                <c:pt idx="3">
                  <c:v>12.2</c:v>
                </c:pt>
                <c:pt idx="4">
                  <c:v>12.2</c:v>
                </c:pt>
                <c:pt idx="5">
                  <c:v>12.2</c:v>
                </c:pt>
                <c:pt idx="6">
                  <c:v>12.2</c:v>
                </c:pt>
                <c:pt idx="7">
                  <c:v>12.2</c:v>
                </c:pt>
                <c:pt idx="8">
                  <c:v>12.2</c:v>
                </c:pt>
                <c:pt idx="9">
                  <c:v>12.2</c:v>
                </c:pt>
                <c:pt idx="10">
                  <c:v>12.2</c:v>
                </c:pt>
                <c:pt idx="11">
                  <c:v>12.2</c:v>
                </c:pt>
                <c:pt idx="12">
                  <c:v>12.2</c:v>
                </c:pt>
                <c:pt idx="13">
                  <c:v>12.2</c:v>
                </c:pt>
                <c:pt idx="14">
                  <c:v>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B-472F-9766-7171D54437FB}"/>
            </c:ext>
          </c:extLst>
        </c:ser>
        <c:ser>
          <c:idx val="1"/>
          <c:order val="1"/>
          <c:tx>
            <c:strRef>
              <c:f>'P1 Summary'!$B$9</c:f>
              <c:strCache>
                <c:ptCount val="1"/>
                <c:pt idx="0">
                  <c:v>Phosphorus, total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'P1 Summary'!$C$2:$Q$2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'P1 Summary'!$C$9:$Q$9</c:f>
              <c:numCache>
                <c:formatCode>General</c:formatCode>
                <c:ptCount val="15"/>
                <c:pt idx="0">
                  <c:v>31</c:v>
                </c:pt>
                <c:pt idx="1">
                  <c:v>79</c:v>
                </c:pt>
                <c:pt idx="2">
                  <c:v>27</c:v>
                </c:pt>
                <c:pt idx="3">
                  <c:v>58</c:v>
                </c:pt>
                <c:pt idx="4">
                  <c:v>18</c:v>
                </c:pt>
                <c:pt idx="5">
                  <c:v>31</c:v>
                </c:pt>
                <c:pt idx="6">
                  <c:v>25</c:v>
                </c:pt>
                <c:pt idx="7">
                  <c:v>23</c:v>
                </c:pt>
                <c:pt idx="8">
                  <c:v>38</c:v>
                </c:pt>
                <c:pt idx="9">
                  <c:v>46</c:v>
                </c:pt>
                <c:pt idx="10">
                  <c:v>44</c:v>
                </c:pt>
                <c:pt idx="11">
                  <c:v>27</c:v>
                </c:pt>
                <c:pt idx="12">
                  <c:v>64</c:v>
                </c:pt>
                <c:pt idx="13">
                  <c:v>31</c:v>
                </c:pt>
                <c:pt idx="14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1B-4B6E-A44C-5A613EC673D5}"/>
            </c:ext>
          </c:extLst>
        </c:ser>
        <c:ser>
          <c:idx val="2"/>
          <c:order val="2"/>
          <c:tx>
            <c:strRef>
              <c:f>'P1 Summary'!$B$20</c:f>
              <c:strCache>
                <c:ptCount val="1"/>
                <c:pt idx="0">
                  <c:v>Phosphorus Standard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'P1 Summary'!$C$2:$Q$2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'P1 Summary'!$C$20:$Q$20</c:f>
              <c:numCache>
                <c:formatCode>#,##0.0</c:formatCode>
                <c:ptCount val="15"/>
                <c:pt idx="0">
                  <c:v>22.2</c:v>
                </c:pt>
                <c:pt idx="1">
                  <c:v>22.2</c:v>
                </c:pt>
                <c:pt idx="2">
                  <c:v>22.2</c:v>
                </c:pt>
                <c:pt idx="3">
                  <c:v>22.2</c:v>
                </c:pt>
                <c:pt idx="4">
                  <c:v>22.2</c:v>
                </c:pt>
                <c:pt idx="5">
                  <c:v>22.2</c:v>
                </c:pt>
                <c:pt idx="6">
                  <c:v>22.2</c:v>
                </c:pt>
                <c:pt idx="7">
                  <c:v>22.2</c:v>
                </c:pt>
                <c:pt idx="8">
                  <c:v>22.2</c:v>
                </c:pt>
                <c:pt idx="9">
                  <c:v>22.2</c:v>
                </c:pt>
                <c:pt idx="10">
                  <c:v>22.2</c:v>
                </c:pt>
                <c:pt idx="11">
                  <c:v>22.2</c:v>
                </c:pt>
                <c:pt idx="12">
                  <c:v>22.2</c:v>
                </c:pt>
                <c:pt idx="13">
                  <c:v>22.2</c:v>
                </c:pt>
                <c:pt idx="14">
                  <c:v>22.2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B-472F-9766-7171D54437FB}"/>
            </c:ext>
          </c:extLst>
        </c:ser>
        <c:ser>
          <c:idx val="0"/>
          <c:order val="3"/>
          <c:tx>
            <c:strRef>
              <c:f>'P1 Summary'!$B$10</c:f>
              <c:strCache>
                <c:ptCount val="1"/>
                <c:pt idx="0">
                  <c:v>Chlorophyll a average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'P1 Summary'!$C$2:$Q$2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'P1 Summary'!$C$10:$Q$10</c:f>
              <c:numCache>
                <c:formatCode>0.0</c:formatCode>
                <c:ptCount val="15"/>
                <c:pt idx="0">
                  <c:v>20.149999999999999</c:v>
                </c:pt>
                <c:pt idx="1">
                  <c:v>19.3</c:v>
                </c:pt>
                <c:pt idx="2">
                  <c:v>13.75</c:v>
                </c:pt>
                <c:pt idx="3">
                  <c:v>15.9</c:v>
                </c:pt>
                <c:pt idx="4">
                  <c:v>1.8</c:v>
                </c:pt>
                <c:pt idx="5">
                  <c:v>8.9499999999999993</c:v>
                </c:pt>
                <c:pt idx="6">
                  <c:v>11.5</c:v>
                </c:pt>
                <c:pt idx="7">
                  <c:v>15.899999999999999</c:v>
                </c:pt>
                <c:pt idx="8">
                  <c:v>2.25</c:v>
                </c:pt>
                <c:pt idx="9">
                  <c:v>4.0999999999999996</c:v>
                </c:pt>
                <c:pt idx="10">
                  <c:v>31</c:v>
                </c:pt>
                <c:pt idx="11">
                  <c:v>18.600000000000001</c:v>
                </c:pt>
                <c:pt idx="12">
                  <c:v>26.65</c:v>
                </c:pt>
                <c:pt idx="13">
                  <c:v>25.25</c:v>
                </c:pt>
                <c:pt idx="14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A-414E-A01B-8D13C9B5A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209536"/>
        <c:axId val="116211072"/>
      </c:lineChart>
      <c:dateAx>
        <c:axId val="116209536"/>
        <c:scaling>
          <c:orientation val="minMax"/>
        </c:scaling>
        <c:delete val="0"/>
        <c:axPos val="b"/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11072"/>
        <c:crosses val="autoZero"/>
        <c:auto val="1"/>
        <c:lblOffset val="100"/>
        <c:baseTimeUnit val="days"/>
        <c:majorUnit val="30"/>
        <c:majorTimeUnit val="days"/>
        <c:minorUnit val="15"/>
        <c:minorTimeUnit val="days"/>
      </c:dateAx>
      <c:valAx>
        <c:axId val="11621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09536"/>
        <c:crossesAt val="40544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Nitrogen </a:t>
            </a:r>
          </a:p>
        </c:rich>
      </c:tx>
      <c:layout>
        <c:manualLayout>
          <c:xMode val="edge"/>
          <c:yMode val="edge"/>
          <c:x val="0.36081012416673797"/>
          <c:y val="3.91391584735146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978090089321424E-2"/>
          <c:y val="0.13490922025886434"/>
          <c:w val="0.88123154893333056"/>
          <c:h val="0.55823591754990365"/>
        </c:manualLayout>
      </c:layout>
      <c:lineChart>
        <c:grouping val="standard"/>
        <c:varyColors val="0"/>
        <c:ser>
          <c:idx val="0"/>
          <c:order val="0"/>
          <c:tx>
            <c:strRef>
              <c:f>'P1 Summary'!$A$3:$A$4</c:f>
              <c:strCache>
                <c:ptCount val="1"/>
                <c:pt idx="0">
                  <c:v>Bear Creek Inflow, Site 15a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'P1 Summary'!$C$2:$Q$2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'P1 Summary'!$C$3:$Q$3</c:f>
              <c:numCache>
                <c:formatCode>General</c:formatCode>
                <c:ptCount val="15"/>
                <c:pt idx="0">
                  <c:v>2028</c:v>
                </c:pt>
                <c:pt idx="1">
                  <c:v>1378</c:v>
                </c:pt>
                <c:pt idx="2">
                  <c:v>1534</c:v>
                </c:pt>
                <c:pt idx="3">
                  <c:v>824</c:v>
                </c:pt>
                <c:pt idx="4">
                  <c:v>674</c:v>
                </c:pt>
                <c:pt idx="5">
                  <c:v>446</c:v>
                </c:pt>
                <c:pt idx="6">
                  <c:v>334</c:v>
                </c:pt>
                <c:pt idx="7">
                  <c:v>401</c:v>
                </c:pt>
                <c:pt idx="8">
                  <c:v>501</c:v>
                </c:pt>
                <c:pt idx="9">
                  <c:v>451</c:v>
                </c:pt>
                <c:pt idx="10">
                  <c:v>505</c:v>
                </c:pt>
                <c:pt idx="11">
                  <c:v>750</c:v>
                </c:pt>
                <c:pt idx="12">
                  <c:v>613</c:v>
                </c:pt>
                <c:pt idx="13">
                  <c:v>718</c:v>
                </c:pt>
                <c:pt idx="14">
                  <c:v>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9-463D-B2D5-291E80E18ECF}"/>
            </c:ext>
          </c:extLst>
        </c:ser>
        <c:ser>
          <c:idx val="1"/>
          <c:order val="1"/>
          <c:tx>
            <c:strRef>
              <c:f>'P1 Summary'!$A$6:$A$7</c:f>
              <c:strCache>
                <c:ptCount val="1"/>
                <c:pt idx="0">
                  <c:v>Turkey Creek Inflow, Site 16a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'P1 Summary'!$C$2:$Q$2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'P1 Summary'!$C$6:$Q$6</c:f>
              <c:numCache>
                <c:formatCode>General</c:formatCode>
                <c:ptCount val="15"/>
                <c:pt idx="0">
                  <c:v>830</c:v>
                </c:pt>
                <c:pt idx="1">
                  <c:v>752</c:v>
                </c:pt>
                <c:pt idx="2">
                  <c:v>900</c:v>
                </c:pt>
                <c:pt idx="3">
                  <c:v>667</c:v>
                </c:pt>
                <c:pt idx="4">
                  <c:v>625</c:v>
                </c:pt>
                <c:pt idx="5">
                  <c:v>463</c:v>
                </c:pt>
                <c:pt idx="6">
                  <c:v>445</c:v>
                </c:pt>
                <c:pt idx="7">
                  <c:v>679</c:v>
                </c:pt>
                <c:pt idx="8">
                  <c:v>664</c:v>
                </c:pt>
                <c:pt idx="9">
                  <c:v>507</c:v>
                </c:pt>
                <c:pt idx="10">
                  <c:v>864</c:v>
                </c:pt>
                <c:pt idx="11">
                  <c:v>657</c:v>
                </c:pt>
                <c:pt idx="12">
                  <c:v>725</c:v>
                </c:pt>
                <c:pt idx="13">
                  <c:v>404</c:v>
                </c:pt>
                <c:pt idx="14">
                  <c:v>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9-463D-B2D5-291E80E18ECF}"/>
            </c:ext>
          </c:extLst>
        </c:ser>
        <c:ser>
          <c:idx val="2"/>
          <c:order val="2"/>
          <c:tx>
            <c:strRef>
              <c:f>'P1 Summary'!$A$8:$A$10</c:f>
              <c:strCache>
                <c:ptCount val="1"/>
                <c:pt idx="0">
                  <c:v>BCR Top, Site 40a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'P1 Summary'!$C$2:$Q$2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'P1 Summary'!$C$8:$Q$8</c:f>
              <c:numCache>
                <c:formatCode>General</c:formatCode>
                <c:ptCount val="15"/>
                <c:pt idx="0">
                  <c:v>1095</c:v>
                </c:pt>
                <c:pt idx="1">
                  <c:v>1657</c:v>
                </c:pt>
                <c:pt idx="2">
                  <c:v>1085</c:v>
                </c:pt>
                <c:pt idx="3">
                  <c:v>955</c:v>
                </c:pt>
                <c:pt idx="4">
                  <c:v>737</c:v>
                </c:pt>
                <c:pt idx="5">
                  <c:v>516</c:v>
                </c:pt>
                <c:pt idx="6">
                  <c:v>429</c:v>
                </c:pt>
                <c:pt idx="7">
                  <c:v>445</c:v>
                </c:pt>
                <c:pt idx="8">
                  <c:v>586</c:v>
                </c:pt>
                <c:pt idx="9">
                  <c:v>502</c:v>
                </c:pt>
                <c:pt idx="10">
                  <c:v>712</c:v>
                </c:pt>
                <c:pt idx="11">
                  <c:v>369</c:v>
                </c:pt>
                <c:pt idx="12">
                  <c:v>606</c:v>
                </c:pt>
                <c:pt idx="13">
                  <c:v>565</c:v>
                </c:pt>
                <c:pt idx="14">
                  <c:v>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9-463D-B2D5-291E80E18ECF}"/>
            </c:ext>
          </c:extLst>
        </c:ser>
        <c:ser>
          <c:idx val="3"/>
          <c:order val="3"/>
          <c:tx>
            <c:strRef>
              <c:f>'P1 Summary'!$A$11:$A$12</c:f>
              <c:strCache>
                <c:ptCount val="1"/>
                <c:pt idx="0">
                  <c:v>BCR  -10m, Site 40c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'P1 Summary'!$C$2:$Q$2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'P1 Summary'!$C$11:$Q$11</c:f>
              <c:numCache>
                <c:formatCode>General</c:formatCode>
                <c:ptCount val="15"/>
                <c:pt idx="0">
                  <c:v>810</c:v>
                </c:pt>
                <c:pt idx="1">
                  <c:v>1264</c:v>
                </c:pt>
                <c:pt idx="2">
                  <c:v>1760</c:v>
                </c:pt>
                <c:pt idx="3">
                  <c:v>1096</c:v>
                </c:pt>
                <c:pt idx="4">
                  <c:v>755</c:v>
                </c:pt>
                <c:pt idx="5">
                  <c:v>735</c:v>
                </c:pt>
                <c:pt idx="6">
                  <c:v>586</c:v>
                </c:pt>
                <c:pt idx="7">
                  <c:v>45</c:v>
                </c:pt>
                <c:pt idx="8">
                  <c:v>570</c:v>
                </c:pt>
                <c:pt idx="9">
                  <c:v>508</c:v>
                </c:pt>
                <c:pt idx="10">
                  <c:v>443</c:v>
                </c:pt>
                <c:pt idx="11">
                  <c:v>414</c:v>
                </c:pt>
                <c:pt idx="12">
                  <c:v>453</c:v>
                </c:pt>
                <c:pt idx="13">
                  <c:v>632</c:v>
                </c:pt>
                <c:pt idx="14">
                  <c:v>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69-463D-B2D5-291E80E18ECF}"/>
            </c:ext>
          </c:extLst>
        </c:ser>
        <c:ser>
          <c:idx val="4"/>
          <c:order val="4"/>
          <c:tx>
            <c:strRef>
              <c:f>'P1 Summary'!$A$13:$A$15</c:f>
              <c:strCache>
                <c:ptCount val="1"/>
                <c:pt idx="0">
                  <c:v>Lower Bear Creek Outflow, Site 45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'P1 Summary'!$C$2:$Q$2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'P1 Summary'!$C$13:$Q$13</c:f>
              <c:numCache>
                <c:formatCode>General</c:formatCode>
                <c:ptCount val="15"/>
                <c:pt idx="0">
                  <c:v>926</c:v>
                </c:pt>
                <c:pt idx="1">
                  <c:v>1350</c:v>
                </c:pt>
                <c:pt idx="2">
                  <c:v>1143</c:v>
                </c:pt>
                <c:pt idx="3">
                  <c:v>799</c:v>
                </c:pt>
                <c:pt idx="4">
                  <c:v>811</c:v>
                </c:pt>
                <c:pt idx="5">
                  <c:v>521</c:v>
                </c:pt>
                <c:pt idx="6">
                  <c:v>409</c:v>
                </c:pt>
                <c:pt idx="7">
                  <c:v>374</c:v>
                </c:pt>
                <c:pt idx="8">
                  <c:v>484</c:v>
                </c:pt>
                <c:pt idx="9">
                  <c:v>454</c:v>
                </c:pt>
                <c:pt idx="10">
                  <c:v>572</c:v>
                </c:pt>
                <c:pt idx="11">
                  <c:v>546</c:v>
                </c:pt>
                <c:pt idx="12">
                  <c:v>371</c:v>
                </c:pt>
                <c:pt idx="13">
                  <c:v>426</c:v>
                </c:pt>
                <c:pt idx="14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69-463D-B2D5-291E80E18ECF}"/>
            </c:ext>
          </c:extLst>
        </c:ser>
        <c:ser>
          <c:idx val="5"/>
          <c:order val="5"/>
          <c:tx>
            <c:strRef>
              <c:f>'P1 Summary'!$A$16:$A$18</c:f>
              <c:strCache>
                <c:ptCount val="1"/>
                <c:pt idx="0">
                  <c:v>Lower Bear Creek, Wadsworth Site 90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'P1 Summary'!$C$16:$Q$16</c:f>
              <c:numCache>
                <c:formatCode>General</c:formatCode>
                <c:ptCount val="15"/>
                <c:pt idx="0">
                  <c:v>1442</c:v>
                </c:pt>
                <c:pt idx="1">
                  <c:v>1542</c:v>
                </c:pt>
                <c:pt idx="2">
                  <c:v>1136</c:v>
                </c:pt>
                <c:pt idx="3">
                  <c:v>884</c:v>
                </c:pt>
                <c:pt idx="4">
                  <c:v>624</c:v>
                </c:pt>
                <c:pt idx="5">
                  <c:v>522</c:v>
                </c:pt>
                <c:pt idx="6">
                  <c:v>477</c:v>
                </c:pt>
                <c:pt idx="7">
                  <c:v>617</c:v>
                </c:pt>
                <c:pt idx="8">
                  <c:v>505</c:v>
                </c:pt>
                <c:pt idx="9">
                  <c:v>506</c:v>
                </c:pt>
                <c:pt idx="10">
                  <c:v>679</c:v>
                </c:pt>
                <c:pt idx="11">
                  <c:v>911</c:v>
                </c:pt>
                <c:pt idx="12">
                  <c:v>650</c:v>
                </c:pt>
                <c:pt idx="13">
                  <c:v>779</c:v>
                </c:pt>
                <c:pt idx="14">
                  <c:v>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A-40D9-9A74-4B1C5B3AB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262016"/>
        <c:axId val="116263552"/>
      </c:lineChart>
      <c:dateAx>
        <c:axId val="116262016"/>
        <c:scaling>
          <c:orientation val="minMax"/>
        </c:scaling>
        <c:delete val="0"/>
        <c:axPos val="b"/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63552"/>
        <c:crosses val="autoZero"/>
        <c:auto val="1"/>
        <c:lblOffset val="100"/>
        <c:baseTimeUnit val="days"/>
        <c:majorUnit val="30"/>
        <c:majorTimeUnit val="days"/>
        <c:minorUnit val="15"/>
        <c:minorTimeUnit val="days"/>
      </c:dateAx>
      <c:valAx>
        <c:axId val="11626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TN ug/l</a:t>
                </a:r>
              </a:p>
            </c:rich>
          </c:tx>
          <c:layout>
            <c:manualLayout>
              <c:xMode val="edge"/>
              <c:yMode val="edge"/>
              <c:x val="1.5832009199716883E-3"/>
              <c:y val="0.420447399200896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26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9110667192705"/>
          <c:y val="0.7789760943290972"/>
          <c:w val="0.78026341795128284"/>
          <c:h val="0.154563458539845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Secchi Depth [meter] Trend</a:t>
            </a:r>
          </a:p>
        </c:rich>
      </c:tx>
      <c:layout>
        <c:manualLayout>
          <c:xMode val="edge"/>
          <c:yMode val="edge"/>
          <c:x val="0.35785126859142607"/>
          <c:y val="1.7827779631084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68135240420389E-2"/>
          <c:y val="0.25062563178037861"/>
          <c:w val="0.89243114692708359"/>
          <c:h val="0.7046476538665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'Annual Reservoir Trends'!$A$22</c:f>
              <c:strCache>
                <c:ptCount val="1"/>
                <c:pt idx="0">
                  <c:v>Secchi Depth (m)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trendline>
            <c:spPr>
              <a:ln w="19050" cap="rnd">
                <a:solidFill>
                  <a:schemeClr val="accent1"/>
                </a:solidFill>
              </a:ln>
              <a:effectLst/>
            </c:spPr>
            <c:trendlineType val="linear"/>
            <c:dispRSqr val="0"/>
            <c:dispEq val="0"/>
          </c:trendline>
          <c:cat>
            <c:numRef>
              <c:f>'Annual Reservoir Trends'!$C$3:$AE$3</c:f>
              <c:numCache>
                <c:formatCode>0</c:formatCode>
                <c:ptCount val="29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</c:numCache>
            </c:numRef>
          </c:cat>
          <c:val>
            <c:numRef>
              <c:f>'Annual Reservoir Trends'!$C$22:$AE$22</c:f>
              <c:numCache>
                <c:formatCode>#,##0</c:formatCode>
                <c:ptCount val="29"/>
                <c:pt idx="0">
                  <c:v>2.17</c:v>
                </c:pt>
                <c:pt idx="1">
                  <c:v>2.1</c:v>
                </c:pt>
                <c:pt idx="2">
                  <c:v>2.84</c:v>
                </c:pt>
                <c:pt idx="3">
                  <c:v>1.79</c:v>
                </c:pt>
                <c:pt idx="4">
                  <c:v>2.14</c:v>
                </c:pt>
                <c:pt idx="5">
                  <c:v>2.5099999999999998</c:v>
                </c:pt>
                <c:pt idx="6">
                  <c:v>1.7</c:v>
                </c:pt>
                <c:pt idx="7">
                  <c:v>1.8</c:v>
                </c:pt>
                <c:pt idx="8">
                  <c:v>1.8</c:v>
                </c:pt>
                <c:pt idx="9">
                  <c:v>2.4</c:v>
                </c:pt>
                <c:pt idx="10">
                  <c:v>2.2999999999999998</c:v>
                </c:pt>
                <c:pt idx="11">
                  <c:v>3</c:v>
                </c:pt>
                <c:pt idx="12">
                  <c:v>1.7</c:v>
                </c:pt>
                <c:pt idx="13">
                  <c:v>2.6</c:v>
                </c:pt>
                <c:pt idx="14" formatCode="0.0">
                  <c:v>2.0656249999999998</c:v>
                </c:pt>
                <c:pt idx="15" formatCode="0.0">
                  <c:v>2.4</c:v>
                </c:pt>
                <c:pt idx="16" formatCode="0.0">
                  <c:v>1.7</c:v>
                </c:pt>
                <c:pt idx="17" formatCode="0.0">
                  <c:v>2.4</c:v>
                </c:pt>
                <c:pt idx="18" formatCode="0.0">
                  <c:v>2.7</c:v>
                </c:pt>
                <c:pt idx="19" formatCode="0.0">
                  <c:v>1.7</c:v>
                </c:pt>
                <c:pt idx="20" formatCode="0.0">
                  <c:v>2.2000000000000002</c:v>
                </c:pt>
                <c:pt idx="21" formatCode="0.0">
                  <c:v>2.1800000000000002</c:v>
                </c:pt>
                <c:pt idx="22" formatCode="0.0">
                  <c:v>1.86</c:v>
                </c:pt>
                <c:pt idx="23" formatCode="0.0">
                  <c:v>1.98</c:v>
                </c:pt>
                <c:pt idx="24" formatCode="0.0">
                  <c:v>1.17</c:v>
                </c:pt>
                <c:pt idx="25" formatCode="0.0">
                  <c:v>1.22</c:v>
                </c:pt>
                <c:pt idx="26" formatCode="0.0">
                  <c:v>2.17</c:v>
                </c:pt>
                <c:pt idx="27" formatCode="0.0">
                  <c:v>1.54</c:v>
                </c:pt>
                <c:pt idx="28" formatCode="0.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6-44EA-81EB-4285F31CC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06348928"/>
        <c:axId val="106350464"/>
      </c:barChart>
      <c:catAx>
        <c:axId val="106348928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5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35046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4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2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Nitrogen Bear Creek Reservoir </a:t>
            </a:r>
          </a:p>
        </c:rich>
      </c:tx>
      <c:layout>
        <c:manualLayout>
          <c:xMode val="edge"/>
          <c:yMode val="edge"/>
          <c:x val="0.33446057497643067"/>
          <c:y val="1.52278102011349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357595997938693"/>
          <c:y val="0.2082293341152974"/>
          <c:w val="0.8051691260852254"/>
          <c:h val="0.57759862499556058"/>
        </c:manualLayout>
      </c:layout>
      <c:lineChart>
        <c:grouping val="standard"/>
        <c:varyColors val="0"/>
        <c:ser>
          <c:idx val="0"/>
          <c:order val="0"/>
          <c:tx>
            <c:strRef>
              <c:f>'P1 Summary'!$A$8:$A$10</c:f>
              <c:strCache>
                <c:ptCount val="1"/>
                <c:pt idx="0">
                  <c:v>BCR Top, Site 40a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'P1 Summary'!$C$2:$Q$2</c:f>
              <c:numCache>
                <c:formatCode>[$-409]d\-mmm;@</c:formatCode>
                <c:ptCount val="15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43654</c:v>
                </c:pt>
                <c:pt idx="7">
                  <c:v>43661</c:v>
                </c:pt>
                <c:pt idx="8">
                  <c:v>43682</c:v>
                </c:pt>
                <c:pt idx="9">
                  <c:v>43690</c:v>
                </c:pt>
                <c:pt idx="10">
                  <c:v>43717</c:v>
                </c:pt>
                <c:pt idx="11">
                  <c:v>43724</c:v>
                </c:pt>
                <c:pt idx="12">
                  <c:v>43752</c:v>
                </c:pt>
                <c:pt idx="13">
                  <c:v>43783</c:v>
                </c:pt>
                <c:pt idx="14">
                  <c:v>43808</c:v>
                </c:pt>
              </c:numCache>
            </c:numRef>
          </c:cat>
          <c:val>
            <c:numRef>
              <c:f>'P1 Summary'!$C$8:$Q$8</c:f>
              <c:numCache>
                <c:formatCode>General</c:formatCode>
                <c:ptCount val="15"/>
                <c:pt idx="0">
                  <c:v>1095</c:v>
                </c:pt>
                <c:pt idx="1">
                  <c:v>1657</c:v>
                </c:pt>
                <c:pt idx="2">
                  <c:v>1085</c:v>
                </c:pt>
                <c:pt idx="3">
                  <c:v>955</c:v>
                </c:pt>
                <c:pt idx="4">
                  <c:v>737</c:v>
                </c:pt>
                <c:pt idx="5">
                  <c:v>516</c:v>
                </c:pt>
                <c:pt idx="6">
                  <c:v>429</c:v>
                </c:pt>
                <c:pt idx="7">
                  <c:v>445</c:v>
                </c:pt>
                <c:pt idx="8">
                  <c:v>586</c:v>
                </c:pt>
                <c:pt idx="9">
                  <c:v>502</c:v>
                </c:pt>
                <c:pt idx="10">
                  <c:v>712</c:v>
                </c:pt>
                <c:pt idx="11">
                  <c:v>369</c:v>
                </c:pt>
                <c:pt idx="12">
                  <c:v>606</c:v>
                </c:pt>
                <c:pt idx="13">
                  <c:v>565</c:v>
                </c:pt>
                <c:pt idx="14">
                  <c:v>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02-4557-BA5B-C0D0AE64A842}"/>
            </c:ext>
          </c:extLst>
        </c:ser>
        <c:ser>
          <c:idx val="1"/>
          <c:order val="1"/>
          <c:tx>
            <c:strRef>
              <c:f>'P1 Summary'!$A$11:$A$12</c:f>
              <c:strCache>
                <c:ptCount val="1"/>
                <c:pt idx="0">
                  <c:v>BCR  -10m, Site 40c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'P1 Summary'!$C$11:$Q$11</c:f>
              <c:numCache>
                <c:formatCode>General</c:formatCode>
                <c:ptCount val="15"/>
                <c:pt idx="0">
                  <c:v>810</c:v>
                </c:pt>
                <c:pt idx="1">
                  <c:v>1264</c:v>
                </c:pt>
                <c:pt idx="2">
                  <c:v>1760</c:v>
                </c:pt>
                <c:pt idx="3">
                  <c:v>1096</c:v>
                </c:pt>
                <c:pt idx="4">
                  <c:v>755</c:v>
                </c:pt>
                <c:pt idx="5">
                  <c:v>735</c:v>
                </c:pt>
                <c:pt idx="6">
                  <c:v>586</c:v>
                </c:pt>
                <c:pt idx="7">
                  <c:v>45</c:v>
                </c:pt>
                <c:pt idx="8">
                  <c:v>570</c:v>
                </c:pt>
                <c:pt idx="9">
                  <c:v>508</c:v>
                </c:pt>
                <c:pt idx="10">
                  <c:v>443</c:v>
                </c:pt>
                <c:pt idx="11">
                  <c:v>414</c:v>
                </c:pt>
                <c:pt idx="12">
                  <c:v>453</c:v>
                </c:pt>
                <c:pt idx="13">
                  <c:v>632</c:v>
                </c:pt>
                <c:pt idx="14">
                  <c:v>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EF-4B9E-9A76-4974300C4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372608"/>
        <c:axId val="116374144"/>
      </c:lineChart>
      <c:dateAx>
        <c:axId val="116372608"/>
        <c:scaling>
          <c:orientation val="minMax"/>
        </c:scaling>
        <c:delete val="1"/>
        <c:axPos val="t"/>
        <c:numFmt formatCode="[$-409]d\-mmm;@" sourceLinked="1"/>
        <c:majorTickMark val="none"/>
        <c:minorTickMark val="none"/>
        <c:tickLblPos val="nextTo"/>
        <c:crossAx val="116374144"/>
        <c:crosses val="autoZero"/>
        <c:auto val="1"/>
        <c:lblOffset val="100"/>
        <c:baseTimeUnit val="days"/>
      </c:dateAx>
      <c:valAx>
        <c:axId val="11637414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Nitrogen ug/l</a:t>
                </a:r>
              </a:p>
            </c:rich>
          </c:tx>
          <c:layout>
            <c:manualLayout>
              <c:xMode val="edge"/>
              <c:yMode val="edge"/>
              <c:x val="9.3691646834728998E-2"/>
              <c:y val="0.278437841756135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372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Phosphorus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'Mt Evans Summary'!$I$16</c:f>
              <c:strCache>
                <c:ptCount val="1"/>
                <c:pt idx="0">
                  <c:v>site 36 through Culverts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'Mt Evans Summary'!$J$11:$M$11</c:f>
              <c:strCache>
                <c:ptCount val="4"/>
                <c:pt idx="0">
                  <c:v>June</c:v>
                </c:pt>
                <c:pt idx="1">
                  <c:v>July</c:v>
                </c:pt>
                <c:pt idx="2">
                  <c:v>August</c:v>
                </c:pt>
                <c:pt idx="3">
                  <c:v>Sep</c:v>
                </c:pt>
              </c:strCache>
            </c:strRef>
          </c:cat>
          <c:val>
            <c:numRef>
              <c:f>'Mt Evans Summary'!$J$16:$M$16</c:f>
              <c:numCache>
                <c:formatCode>#,##0.00</c:formatCode>
                <c:ptCount val="4"/>
                <c:pt idx="0">
                  <c:v>4.2663256020000002</c:v>
                </c:pt>
                <c:pt idx="1">
                  <c:v>201.47178232440001</c:v>
                </c:pt>
                <c:pt idx="2">
                  <c:v>7.6865937556800006</c:v>
                </c:pt>
                <c:pt idx="3">
                  <c:v>2.0637687798000006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1-4CF4-A768-F149EA493D07}"/>
            </c:ext>
          </c:extLst>
        </c:ser>
        <c:ser>
          <c:idx val="1"/>
          <c:order val="1"/>
          <c:tx>
            <c:strRef>
              <c:f>'Mt Evans Summary'!$I$17</c:f>
              <c:strCache>
                <c:ptCount val="1"/>
                <c:pt idx="0">
                  <c:v>site 37 - Bear Creek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'Mt Evans Summary'!$J$17:$M$17</c:f>
              <c:numCache>
                <c:formatCode>#,##0.00</c:formatCode>
                <c:ptCount val="4"/>
                <c:pt idx="0">
                  <c:v>14.083521013800002</c:v>
                </c:pt>
                <c:pt idx="1">
                  <c:v>12.748496960640001</c:v>
                </c:pt>
                <c:pt idx="2">
                  <c:v>3.4348628890800006</c:v>
                </c:pt>
                <c:pt idx="3">
                  <c:v>1.6928087715000004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C1-4CF4-A768-F149EA493D07}"/>
            </c:ext>
          </c:extLst>
        </c:ser>
        <c:ser>
          <c:idx val="2"/>
          <c:order val="2"/>
          <c:tx>
            <c:strRef>
              <c:f>'Mt Evans Summary'!$I$18</c:f>
              <c:strCache>
                <c:ptCount val="1"/>
                <c:pt idx="0">
                  <c:v>Site 63 - Bottom Fen 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'Mt Evans Summary'!$J$18:$M$18</c:f>
              <c:numCache>
                <c:formatCode>#,##0.00</c:formatCode>
                <c:ptCount val="4"/>
                <c:pt idx="0">
                  <c:v>0.11922557472</c:v>
                </c:pt>
                <c:pt idx="1">
                  <c:v>0.46037918933999999</c:v>
                </c:pt>
                <c:pt idx="2">
                  <c:v>14.178447898020002</c:v>
                </c:pt>
                <c:pt idx="3">
                  <c:v>12.165976353720001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0-4A34-9354-22EA62113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03719144"/>
        <c:axId val="603720456"/>
      </c:barChart>
      <c:catAx>
        <c:axId val="603719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720456"/>
        <c:crosses val="autoZero"/>
        <c:auto val="1"/>
        <c:lblAlgn val="ctr"/>
        <c:lblOffset val="100"/>
        <c:noMultiLvlLbl val="0"/>
      </c:catAx>
      <c:valAx>
        <c:axId val="603720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TP Pounds/Month</a:t>
                </a:r>
              </a:p>
            </c:rich>
          </c:tx>
          <c:layout>
            <c:manualLayout>
              <c:xMode val="edge"/>
              <c:yMode val="edge"/>
              <c:x val="0.10844296435818519"/>
              <c:y val="0.244481308768442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7191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Nitrogen</a:t>
            </a:r>
          </a:p>
        </c:rich>
      </c:tx>
      <c:layout>
        <c:manualLayout>
          <c:xMode val="edge"/>
          <c:yMode val="edge"/>
          <c:x val="0.38585411198600172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'Mt Evans Summary'!$I$20</c:f>
              <c:strCache>
                <c:ptCount val="1"/>
                <c:pt idx="0">
                  <c:v>site 36 through Culverts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'Mt Evans Summary'!$J$11:$M$11</c:f>
              <c:strCache>
                <c:ptCount val="4"/>
                <c:pt idx="0">
                  <c:v>June</c:v>
                </c:pt>
                <c:pt idx="1">
                  <c:v>July</c:v>
                </c:pt>
                <c:pt idx="2">
                  <c:v>August</c:v>
                </c:pt>
                <c:pt idx="3">
                  <c:v>Sep</c:v>
                </c:pt>
              </c:strCache>
            </c:strRef>
          </c:cat>
          <c:val>
            <c:numRef>
              <c:f>'Mt Evans Summary'!$J$20:$M$20</c:f>
              <c:numCache>
                <c:formatCode>#,##0.0</c:formatCode>
                <c:ptCount val="4"/>
                <c:pt idx="0">
                  <c:v>111.70016121600001</c:v>
                </c:pt>
                <c:pt idx="1">
                  <c:v>745.84063731072001</c:v>
                </c:pt>
                <c:pt idx="2">
                  <c:v>175.14452914728002</c:v>
                </c:pt>
                <c:pt idx="3">
                  <c:v>17.857917604800004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4-47E7-B986-10A076406C55}"/>
            </c:ext>
          </c:extLst>
        </c:ser>
        <c:ser>
          <c:idx val="1"/>
          <c:order val="1"/>
          <c:tx>
            <c:strRef>
              <c:f>'Mt Evans Summary'!$I$21</c:f>
              <c:strCache>
                <c:ptCount val="1"/>
                <c:pt idx="0">
                  <c:v>site 37 - Bear Creek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'Mt Evans Summary'!$J$11:$M$11</c:f>
              <c:strCache>
                <c:ptCount val="4"/>
                <c:pt idx="0">
                  <c:v>June</c:v>
                </c:pt>
                <c:pt idx="1">
                  <c:v>July</c:v>
                </c:pt>
                <c:pt idx="2">
                  <c:v>August</c:v>
                </c:pt>
                <c:pt idx="3">
                  <c:v>Sep</c:v>
                </c:pt>
              </c:strCache>
            </c:strRef>
          </c:cat>
          <c:val>
            <c:numRef>
              <c:f>'Mt Evans Summary'!$J$21:$M$21</c:f>
              <c:numCache>
                <c:formatCode>#,##0.0</c:formatCode>
                <c:ptCount val="4"/>
                <c:pt idx="0">
                  <c:v>262.10997442350003</c:v>
                </c:pt>
                <c:pt idx="1">
                  <c:v>258.71949714240003</c:v>
                </c:pt>
                <c:pt idx="2">
                  <c:v>139.68442415592003</c:v>
                </c:pt>
                <c:pt idx="3">
                  <c:v>46.167511950000012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74-47E7-B986-10A076406C55}"/>
            </c:ext>
          </c:extLst>
        </c:ser>
        <c:ser>
          <c:idx val="2"/>
          <c:order val="2"/>
          <c:tx>
            <c:strRef>
              <c:f>'Mt Evans Summary'!$I$22</c:f>
              <c:strCache>
                <c:ptCount val="1"/>
                <c:pt idx="0">
                  <c:v>Site 63 - Bottom Fen 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'Mt Evans Summary'!$J$22:$M$22</c:f>
              <c:numCache>
                <c:formatCode>#,##0.0</c:formatCode>
                <c:ptCount val="4"/>
                <c:pt idx="0">
                  <c:v>0.5572499688</c:v>
                </c:pt>
                <c:pt idx="1">
                  <c:v>0.51707613384000006</c:v>
                </c:pt>
                <c:pt idx="2">
                  <c:v>16.570410990840003</c:v>
                </c:pt>
                <c:pt idx="3">
                  <c:v>18.441464156430001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4-4746-AB7F-F89932338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4608920"/>
        <c:axId val="504606296"/>
      </c:barChart>
      <c:catAx>
        <c:axId val="50460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4606296"/>
        <c:crosses val="autoZero"/>
        <c:auto val="1"/>
        <c:lblAlgn val="ctr"/>
        <c:lblOffset val="100"/>
        <c:noMultiLvlLbl val="0"/>
      </c:catAx>
      <c:valAx>
        <c:axId val="504606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TN Pounds/Month</a:t>
                </a:r>
              </a:p>
            </c:rich>
          </c:tx>
          <c:layout>
            <c:manualLayout>
              <c:xMode val="edge"/>
              <c:yMode val="edge"/>
              <c:x val="0.13556996805732205"/>
              <c:y val="0.261709317585301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46089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5E-2"/>
          <c:y val="0.19888597258676"/>
          <c:w val="0.84444444444444444"/>
          <c:h val="0.6952373140857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'Mt Evans Summary'!$I$10:$O$10</c:f>
              <c:strCache>
                <c:ptCount val="1"/>
                <c:pt idx="0">
                  <c:v>Flow acre-feet/month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'Mt Evans Summary'!$I$12:$I$13</c:f>
              <c:strCache>
                <c:ptCount val="2"/>
                <c:pt idx="0">
                  <c:v>site 36 through Culverts</c:v>
                </c:pt>
                <c:pt idx="1">
                  <c:v>site 37 - Bear Creek</c:v>
                </c:pt>
              </c:strCache>
            </c:strRef>
          </c:cat>
          <c:val>
            <c:numRef>
              <c:f>'Mt Evans Summary'!$O$12:$O$13</c:f>
              <c:numCache>
                <c:formatCode>#,##0</c:formatCode>
                <c:ptCount val="2"/>
                <c:pt idx="0">
                  <c:v>649.68539999999996</c:v>
                </c:pt>
                <c:pt idx="1">
                  <c:v>829.48890000000006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D-4DA6-86E4-8C2B754BD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0519832"/>
        <c:axId val="620523768"/>
      </c:barChart>
      <c:catAx>
        <c:axId val="62051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523768"/>
        <c:crosses val="autoZero"/>
        <c:auto val="1"/>
        <c:lblAlgn val="ctr"/>
        <c:lblOffset val="100"/>
        <c:noMultiLvlLbl val="0"/>
      </c:catAx>
      <c:valAx>
        <c:axId val="620523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519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Nitrogen &amp; Phosphorus Seasonal Averages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'Fen Study'!$M$22:$M$23</c:f>
              <c:strCache>
                <c:ptCount val="1"/>
                <c:pt idx="0">
                  <c:v>Total Nirogen, ug/l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'Fen Study'!$X$21:$Z$21</c:f>
              <c:strCache>
                <c:ptCount val="3"/>
                <c:pt idx="0">
                  <c:v>All Fens</c:v>
                </c:pt>
                <c:pt idx="1">
                  <c:v>Control Fen</c:v>
                </c:pt>
                <c:pt idx="2">
                  <c:v>Northern Fens</c:v>
                </c:pt>
              </c:strCache>
            </c:strRef>
          </c:cat>
          <c:val>
            <c:numRef>
              <c:f>'Fen Study'!$X$22:$Z$22</c:f>
              <c:numCache>
                <c:formatCode>#,##0</c:formatCode>
                <c:ptCount val="3"/>
                <c:pt idx="0">
                  <c:v>282.5</c:v>
                </c:pt>
                <c:pt idx="1">
                  <c:v>99</c:v>
                </c:pt>
                <c:pt idx="2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8C-4FCE-909B-D122FDEEBFB2}"/>
            </c:ext>
          </c:extLst>
        </c:ser>
        <c:ser>
          <c:idx val="0"/>
          <c:order val="1"/>
          <c:tx>
            <c:strRef>
              <c:f>'Fen Study'!$M$24:$M$25</c:f>
              <c:strCache>
                <c:ptCount val="1"/>
                <c:pt idx="0">
                  <c:v>Total Phosphorus, ug/l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'Fen Study'!$X$21:$Z$21</c:f>
              <c:strCache>
                <c:ptCount val="3"/>
                <c:pt idx="0">
                  <c:v>All Fens</c:v>
                </c:pt>
                <c:pt idx="1">
                  <c:v>Control Fen</c:v>
                </c:pt>
                <c:pt idx="2">
                  <c:v>Northern Fens</c:v>
                </c:pt>
              </c:strCache>
            </c:strRef>
          </c:cat>
          <c:val>
            <c:numRef>
              <c:f>'Fen Study'!$X$25:$Z$25</c:f>
              <c:numCache>
                <c:formatCode>#,##0</c:formatCode>
                <c:ptCount val="3"/>
                <c:pt idx="0">
                  <c:v>240.16071428571428</c:v>
                </c:pt>
                <c:pt idx="1">
                  <c:v>18.454545454545453</c:v>
                </c:pt>
                <c:pt idx="2">
                  <c:v>319.3170731707317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B8-4693-9B80-98C60842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54351024"/>
        <c:axId val="554351352"/>
      </c:barChart>
      <c:catAx>
        <c:axId val="55435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351352"/>
        <c:crosses val="autoZero"/>
        <c:auto val="1"/>
        <c:lblAlgn val="ctr"/>
        <c:lblOffset val="100"/>
        <c:noMultiLvlLbl val="0"/>
      </c:catAx>
      <c:valAx>
        <c:axId val="554351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TN ug/l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35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'Copper Study'!$B$4</c:f>
              <c:strCache>
                <c:ptCount val="1"/>
                <c:pt idx="0">
                  <c:v>Site 14a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'Copper Study'!$D$3:$K$3</c:f>
              <c:numCache>
                <c:formatCode>[$-409]d\-mmm;@</c:formatCode>
                <c:ptCount val="8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43690</c:v>
                </c:pt>
                <c:pt idx="7">
                  <c:v>43724</c:v>
                </c:pt>
              </c:numCache>
            </c:numRef>
          </c:cat>
          <c:val>
            <c:numRef>
              <c:f>'Copper Study'!$D$4:$K$4</c:f>
              <c:numCache>
                <c:formatCode>General</c:formatCode>
                <c:ptCount val="8"/>
                <c:pt idx="0">
                  <c:v>3</c:v>
                </c:pt>
                <c:pt idx="1">
                  <c:v>1.6</c:v>
                </c:pt>
                <c:pt idx="2">
                  <c:v>3.7</c:v>
                </c:pt>
                <c:pt idx="3">
                  <c:v>7.3</c:v>
                </c:pt>
                <c:pt idx="4">
                  <c:v>1.5</c:v>
                </c:pt>
                <c:pt idx="5">
                  <c:v>1.3</c:v>
                </c:pt>
                <c:pt idx="6">
                  <c:v>1.1000000000000001</c:v>
                </c:pt>
                <c:pt idx="7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5-48DE-992F-6071B6205A11}"/>
            </c:ext>
          </c:extLst>
        </c:ser>
        <c:ser>
          <c:idx val="1"/>
          <c:order val="1"/>
          <c:tx>
            <c:strRef>
              <c:f>'Copper Study'!$B$5</c:f>
              <c:strCache>
                <c:ptCount val="1"/>
                <c:pt idx="0">
                  <c:v>Site 34b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'Copper Study'!$D$3:$K$3</c:f>
              <c:numCache>
                <c:formatCode>[$-409]d\-mmm;@</c:formatCode>
                <c:ptCount val="8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43690</c:v>
                </c:pt>
                <c:pt idx="7">
                  <c:v>43724</c:v>
                </c:pt>
              </c:numCache>
            </c:numRef>
          </c:cat>
          <c:val>
            <c:numRef>
              <c:f>'Copper Study'!$D$6:$K$6</c:f>
              <c:numCache>
                <c:formatCode>General</c:formatCode>
                <c:ptCount val="8"/>
                <c:pt idx="0">
                  <c:v>2.5</c:v>
                </c:pt>
                <c:pt idx="1">
                  <c:v>1.7</c:v>
                </c:pt>
                <c:pt idx="2">
                  <c:v>3.5</c:v>
                </c:pt>
                <c:pt idx="3">
                  <c:v>6.5</c:v>
                </c:pt>
                <c:pt idx="4">
                  <c:v>1.6</c:v>
                </c:pt>
                <c:pt idx="5">
                  <c:v>5.6</c:v>
                </c:pt>
                <c:pt idx="6">
                  <c:v>1.2</c:v>
                </c:pt>
                <c:pt idx="7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95-48DE-992F-6071B6205A11}"/>
            </c:ext>
          </c:extLst>
        </c:ser>
        <c:ser>
          <c:idx val="2"/>
          <c:order val="2"/>
          <c:tx>
            <c:strRef>
              <c:f>'Copper Study'!$B$6</c:f>
              <c:strCache>
                <c:ptCount val="1"/>
                <c:pt idx="0">
                  <c:v>Site 14c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'Copper Study'!$D$3:$K$3</c:f>
              <c:numCache>
                <c:formatCode>[$-409]d\-mmm;@</c:formatCode>
                <c:ptCount val="8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43690</c:v>
                </c:pt>
                <c:pt idx="7">
                  <c:v>43724</c:v>
                </c:pt>
              </c:numCache>
            </c:numRef>
          </c:cat>
          <c:val>
            <c:numRef>
              <c:f>'Copper Study'!$D$5:$K$5</c:f>
              <c:numCache>
                <c:formatCode>General</c:formatCode>
                <c:ptCount val="8"/>
                <c:pt idx="0">
                  <c:v>2.2000000000000002</c:v>
                </c:pt>
                <c:pt idx="1">
                  <c:v>1.3</c:v>
                </c:pt>
                <c:pt idx="2">
                  <c:v>4.3</c:v>
                </c:pt>
                <c:pt idx="3">
                  <c:v>7.2</c:v>
                </c:pt>
                <c:pt idx="4">
                  <c:v>1.3</c:v>
                </c:pt>
                <c:pt idx="5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5-48DE-992F-6071B620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9827296"/>
        <c:axId val="629828280"/>
      </c:lineChart>
      <c:dateAx>
        <c:axId val="629827296"/>
        <c:scaling>
          <c:orientation val="minMax"/>
        </c:scaling>
        <c:delete val="0"/>
        <c:axPos val="b"/>
        <c:numFmt formatCode="[$-409]d\-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9828280"/>
        <c:crosses val="autoZero"/>
        <c:auto val="1"/>
        <c:lblOffset val="100"/>
        <c:baseTimeUnit val="days"/>
      </c:dateAx>
      <c:valAx>
        <c:axId val="62982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Dissolved Copper, ug/l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9827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Hardness as CaCO3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'Copper Study'!$B$8</c:f>
              <c:strCache>
                <c:ptCount val="1"/>
                <c:pt idx="0">
                  <c:v>Site 14a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'Copper Study'!$D$3:$K$3</c:f>
              <c:numCache>
                <c:formatCode>[$-409]d\-mmm;@</c:formatCode>
                <c:ptCount val="8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43690</c:v>
                </c:pt>
                <c:pt idx="7">
                  <c:v>43724</c:v>
                </c:pt>
              </c:numCache>
            </c:numRef>
          </c:cat>
          <c:val>
            <c:numRef>
              <c:f>'Copper Study'!$D$8:$K$8</c:f>
              <c:numCache>
                <c:formatCode>General</c:formatCode>
                <c:ptCount val="8"/>
                <c:pt idx="0">
                  <c:v>92</c:v>
                </c:pt>
                <c:pt idx="1">
                  <c:v>88</c:v>
                </c:pt>
                <c:pt idx="2">
                  <c:v>116</c:v>
                </c:pt>
                <c:pt idx="3">
                  <c:v>92</c:v>
                </c:pt>
                <c:pt idx="4">
                  <c:v>76</c:v>
                </c:pt>
                <c:pt idx="5">
                  <c:v>38</c:v>
                </c:pt>
                <c:pt idx="6">
                  <c:v>40</c:v>
                </c:pt>
                <c:pt idx="7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D-4947-A151-63CCD2FE5313}"/>
            </c:ext>
          </c:extLst>
        </c:ser>
        <c:ser>
          <c:idx val="1"/>
          <c:order val="1"/>
          <c:tx>
            <c:strRef>
              <c:f>'Copper Study'!$B$9</c:f>
              <c:strCache>
                <c:ptCount val="1"/>
                <c:pt idx="0">
                  <c:v>Site 34b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'Copper Study'!$D$3:$K$3</c:f>
              <c:numCache>
                <c:formatCode>[$-409]d\-mmm;@</c:formatCode>
                <c:ptCount val="8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43690</c:v>
                </c:pt>
                <c:pt idx="7">
                  <c:v>43724</c:v>
                </c:pt>
              </c:numCache>
            </c:numRef>
          </c:cat>
          <c:val>
            <c:numRef>
              <c:f>'Copper Study'!$D$9:$K$9</c:f>
              <c:numCache>
                <c:formatCode>General</c:formatCode>
                <c:ptCount val="8"/>
                <c:pt idx="0">
                  <c:v>600</c:v>
                </c:pt>
                <c:pt idx="1">
                  <c:v>590</c:v>
                </c:pt>
                <c:pt idx="2">
                  <c:v>650</c:v>
                </c:pt>
                <c:pt idx="3">
                  <c:v>126</c:v>
                </c:pt>
                <c:pt idx="4">
                  <c:v>740</c:v>
                </c:pt>
                <c:pt idx="5">
                  <c:v>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D-4947-A151-63CCD2FE5313}"/>
            </c:ext>
          </c:extLst>
        </c:ser>
        <c:ser>
          <c:idx val="2"/>
          <c:order val="2"/>
          <c:tx>
            <c:strRef>
              <c:f>'Copper Study'!$B$10</c:f>
              <c:strCache>
                <c:ptCount val="1"/>
                <c:pt idx="0">
                  <c:v>Site 14c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'Copper Study'!$D$3:$K$3</c:f>
              <c:numCache>
                <c:formatCode>[$-409]d\-mmm;@</c:formatCode>
                <c:ptCount val="8"/>
                <c:pt idx="0">
                  <c:v>43472</c:v>
                </c:pt>
                <c:pt idx="1">
                  <c:v>43507</c:v>
                </c:pt>
                <c:pt idx="2">
                  <c:v>43545</c:v>
                </c:pt>
                <c:pt idx="3">
                  <c:v>43563</c:v>
                </c:pt>
                <c:pt idx="4">
                  <c:v>43591</c:v>
                </c:pt>
                <c:pt idx="5">
                  <c:v>43626</c:v>
                </c:pt>
                <c:pt idx="6">
                  <c:v>43690</c:v>
                </c:pt>
                <c:pt idx="7">
                  <c:v>43724</c:v>
                </c:pt>
              </c:numCache>
            </c:numRef>
          </c:cat>
          <c:val>
            <c:numRef>
              <c:f>'Copper Study'!$D$10:$K$10</c:f>
              <c:numCache>
                <c:formatCode>#,##0</c:formatCode>
                <c:ptCount val="8"/>
                <c:pt idx="0" formatCode="General">
                  <c:v>156</c:v>
                </c:pt>
                <c:pt idx="1">
                  <c:v>136</c:v>
                </c:pt>
                <c:pt idx="2" formatCode="General">
                  <c:v>160</c:v>
                </c:pt>
                <c:pt idx="3" formatCode="General">
                  <c:v>126</c:v>
                </c:pt>
                <c:pt idx="4" formatCode="General">
                  <c:v>112</c:v>
                </c:pt>
                <c:pt idx="5" formatCode="General">
                  <c:v>56</c:v>
                </c:pt>
                <c:pt idx="6" formatCode="General">
                  <c:v>44</c:v>
                </c:pt>
                <c:pt idx="7" formatCode="General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D-4947-A151-63CCD2FE5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076408"/>
        <c:axId val="549066896"/>
      </c:lineChart>
      <c:dateAx>
        <c:axId val="549076408"/>
        <c:scaling>
          <c:orientation val="minMax"/>
        </c:scaling>
        <c:delete val="1"/>
        <c:axPos val="b"/>
        <c:numFmt formatCode="[$-409]d\-mmm;@" sourceLinked="1"/>
        <c:majorTickMark val="none"/>
        <c:minorTickMark val="none"/>
        <c:tickLblPos val="nextTo"/>
        <c:crossAx val="549066896"/>
        <c:crosses val="autoZero"/>
        <c:auto val="1"/>
        <c:lblOffset val="100"/>
        <c:baseTimeUnit val="days"/>
      </c:dateAx>
      <c:valAx>
        <c:axId val="54906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Hardness 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0764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Dissolved Copper, Pounds/Month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'Copper Study'!$B$50</c:f>
              <c:strCache>
                <c:ptCount val="1"/>
                <c:pt idx="0">
                  <c:v>Site 14a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'Copper Study'!$D$49:$K$49</c:f>
              <c:strCache>
                <c:ptCount val="8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Aug</c:v>
                </c:pt>
                <c:pt idx="7">
                  <c:v>Sep</c:v>
                </c:pt>
              </c:strCache>
            </c:strRef>
          </c:cat>
          <c:val>
            <c:numRef>
              <c:f>'Copper Study'!$D$50:$K$50</c:f>
              <c:numCache>
                <c:formatCode>#,##0.0</c:formatCode>
                <c:ptCount val="8"/>
                <c:pt idx="0">
                  <c:v>5.0217293700000001</c:v>
                </c:pt>
                <c:pt idx="1">
                  <c:v>3.3866974848000004</c:v>
                </c:pt>
                <c:pt idx="2">
                  <c:v>12.386932446000001</c:v>
                </c:pt>
                <c:pt idx="3">
                  <c:v>30.154674910500002</c:v>
                </c:pt>
                <c:pt idx="4">
                  <c:v>5.9005320097500009</c:v>
                </c:pt>
                <c:pt idx="5">
                  <c:v>17.057680731000001</c:v>
                </c:pt>
                <c:pt idx="6">
                  <c:v>6.4261396838099998</c:v>
                </c:pt>
                <c:pt idx="7">
                  <c:v>6.5483350984800008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B-444E-8C15-386458900268}"/>
            </c:ext>
          </c:extLst>
        </c:ser>
        <c:ser>
          <c:idx val="1"/>
          <c:order val="1"/>
          <c:tx>
            <c:strRef>
              <c:f>'Copper Study'!$B$51</c:f>
              <c:strCache>
                <c:ptCount val="1"/>
                <c:pt idx="0">
                  <c:v>Site 87/34b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'Copper Study'!$D$49:$K$49</c:f>
              <c:strCache>
                <c:ptCount val="8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Aug</c:v>
                </c:pt>
                <c:pt idx="7">
                  <c:v>Sep</c:v>
                </c:pt>
              </c:strCache>
            </c:strRef>
          </c:cat>
          <c:val>
            <c:numRef>
              <c:f>'Copper Study'!$D$51:$K$51</c:f>
              <c:numCache>
                <c:formatCode>#,##0.0</c:formatCode>
                <c:ptCount val="8"/>
                <c:pt idx="0">
                  <c:v>1.4730406152000004</c:v>
                </c:pt>
                <c:pt idx="1">
                  <c:v>0.15920502015600005</c:v>
                </c:pt>
                <c:pt idx="2">
                  <c:v>1.36758429843</c:v>
                </c:pt>
                <c:pt idx="3">
                  <c:v>5.0152497191999998</c:v>
                </c:pt>
                <c:pt idx="4">
                  <c:v>0.34817323632000013</c:v>
                </c:pt>
                <c:pt idx="5">
                  <c:v>0.47625433379999993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B-444E-8C15-386458900268}"/>
            </c:ext>
          </c:extLst>
        </c:ser>
        <c:ser>
          <c:idx val="2"/>
          <c:order val="2"/>
          <c:tx>
            <c:strRef>
              <c:f>'Copper Study'!$B$52</c:f>
              <c:strCache>
                <c:ptCount val="1"/>
                <c:pt idx="0">
                  <c:v>Site 14c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'Copper Study'!$D$49:$K$49</c:f>
              <c:strCache>
                <c:ptCount val="8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Aug</c:v>
                </c:pt>
                <c:pt idx="7">
                  <c:v>Sep</c:v>
                </c:pt>
              </c:strCache>
            </c:strRef>
          </c:cat>
          <c:val>
            <c:numRef>
              <c:f>'Copper Study'!$D$52:$K$52</c:f>
              <c:numCache>
                <c:formatCode>#,##0.0</c:formatCode>
                <c:ptCount val="8"/>
                <c:pt idx="0">
                  <c:v>5.8586842650000008</c:v>
                </c:pt>
                <c:pt idx="1">
                  <c:v>3.8553922260000006</c:v>
                </c:pt>
                <c:pt idx="2">
                  <c:v>12.889105383000002</c:v>
                </c:pt>
                <c:pt idx="3">
                  <c:v>31.588297650000005</c:v>
                </c:pt>
                <c:pt idx="4">
                  <c:v>6.7224217166400013</c:v>
                </c:pt>
                <c:pt idx="5">
                  <c:v>75.293542295999998</c:v>
                </c:pt>
                <c:pt idx="6">
                  <c:v>7.2312902928000007</c:v>
                </c:pt>
                <c:pt idx="7">
                  <c:v>6.3709006607400012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AB-444E-8C15-386458900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97401792"/>
        <c:axId val="697402120"/>
      </c:barChart>
      <c:catAx>
        <c:axId val="69740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402120"/>
        <c:crosses val="autoZero"/>
        <c:auto val="1"/>
        <c:lblAlgn val="ctr"/>
        <c:lblOffset val="100"/>
        <c:noMultiLvlLbl val="0"/>
      </c:catAx>
      <c:valAx>
        <c:axId val="69740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Dissolved CU, Pounds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401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Segment 1e Stream Temperature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573634081765974E-2"/>
          <c:y val="0.34474561555093802"/>
          <c:w val="0.87768403800679951"/>
          <c:h val="0.54489819142793317"/>
        </c:manualLayout>
      </c:layout>
      <c:lineChart>
        <c:grouping val="standard"/>
        <c:varyColors val="0"/>
        <c:ser>
          <c:idx val="0"/>
          <c:order val="0"/>
          <c:tx>
            <c:strRef>
              <c:f>'MWS 2019 Field'!$C$20:$C$25</c:f>
              <c:strCache>
                <c:ptCount val="6"/>
                <c:pt idx="0">
                  <c:v>Little Bear Evergreen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Field'!$D$20:$D$25</c:f>
              <c:numCache>
                <c:formatCode>[$-409]d\-mmm;@</c:formatCode>
                <c:ptCount val="6"/>
                <c:pt idx="0">
                  <c:v>43599</c:v>
                </c:pt>
                <c:pt idx="1">
                  <c:v>43636</c:v>
                </c:pt>
                <c:pt idx="2">
                  <c:v>43655</c:v>
                </c:pt>
                <c:pt idx="3">
                  <c:v>43696</c:v>
                </c:pt>
                <c:pt idx="4">
                  <c:v>43725</c:v>
                </c:pt>
                <c:pt idx="5">
                  <c:v>43753</c:v>
                </c:pt>
              </c:numCache>
            </c:numRef>
          </c:cat>
          <c:val>
            <c:numRef>
              <c:f>'MWS 2019 Field'!$G$20:$G$25</c:f>
              <c:numCache>
                <c:formatCode>0.0</c:formatCode>
                <c:ptCount val="6"/>
                <c:pt idx="0">
                  <c:v>9.4</c:v>
                </c:pt>
                <c:pt idx="1">
                  <c:v>11.4</c:v>
                </c:pt>
                <c:pt idx="2">
                  <c:v>13.7</c:v>
                </c:pt>
                <c:pt idx="3">
                  <c:v>17.399999999999999</c:v>
                </c:pt>
                <c:pt idx="4">
                  <c:v>15.3</c:v>
                </c:pt>
                <c:pt idx="5">
                  <c:v>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C-4E71-9B02-03618E47FC08}"/>
            </c:ext>
          </c:extLst>
        </c:ser>
        <c:ser>
          <c:idx val="1"/>
          <c:order val="1"/>
          <c:tx>
            <c:strRef>
              <c:f>'MWS 2019 Field'!$C$26:$C$31</c:f>
              <c:strCache>
                <c:ptCount val="6"/>
                <c:pt idx="0">
                  <c:v>Bear Creek Cabins 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Field'!$D$20:$D$25</c:f>
              <c:numCache>
                <c:formatCode>[$-409]d\-mmm;@</c:formatCode>
                <c:ptCount val="6"/>
                <c:pt idx="0">
                  <c:v>43599</c:v>
                </c:pt>
                <c:pt idx="1">
                  <c:v>43636</c:v>
                </c:pt>
                <c:pt idx="2">
                  <c:v>43655</c:v>
                </c:pt>
                <c:pt idx="3">
                  <c:v>43696</c:v>
                </c:pt>
                <c:pt idx="4">
                  <c:v>43725</c:v>
                </c:pt>
                <c:pt idx="5">
                  <c:v>43753</c:v>
                </c:pt>
              </c:numCache>
            </c:numRef>
          </c:cat>
          <c:val>
            <c:numRef>
              <c:f>'MWS 2019 Field'!$G$26:$G$31</c:f>
              <c:numCache>
                <c:formatCode>0.0</c:formatCode>
                <c:ptCount val="6"/>
                <c:pt idx="0">
                  <c:v>9.9</c:v>
                </c:pt>
                <c:pt idx="1">
                  <c:v>12</c:v>
                </c:pt>
                <c:pt idx="2">
                  <c:v>14</c:v>
                </c:pt>
                <c:pt idx="3">
                  <c:v>18.899999999999999</c:v>
                </c:pt>
                <c:pt idx="4">
                  <c:v>15.5</c:v>
                </c:pt>
                <c:pt idx="5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C-4E71-9B02-03618E47FC08}"/>
            </c:ext>
          </c:extLst>
        </c:ser>
        <c:ser>
          <c:idx val="2"/>
          <c:order val="2"/>
          <c:tx>
            <c:strRef>
              <c:f>'MWS 2019 Field'!$C$32:$C$37</c:f>
              <c:strCache>
                <c:ptCount val="6"/>
                <c:pt idx="0">
                  <c:v>O'Fallon Park</c:v>
                </c:pt>
              </c:strCache>
            </c:strRef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Field'!$D$20:$D$25</c:f>
              <c:numCache>
                <c:formatCode>[$-409]d\-mmm;@</c:formatCode>
                <c:ptCount val="6"/>
                <c:pt idx="0">
                  <c:v>43599</c:v>
                </c:pt>
                <c:pt idx="1">
                  <c:v>43636</c:v>
                </c:pt>
                <c:pt idx="2">
                  <c:v>43655</c:v>
                </c:pt>
                <c:pt idx="3">
                  <c:v>43696</c:v>
                </c:pt>
                <c:pt idx="4">
                  <c:v>43725</c:v>
                </c:pt>
                <c:pt idx="5">
                  <c:v>43753</c:v>
                </c:pt>
              </c:numCache>
            </c:numRef>
          </c:cat>
          <c:val>
            <c:numRef>
              <c:f>'MWS 2019 Field'!$G$32:$G$37</c:f>
              <c:numCache>
                <c:formatCode>0.0</c:formatCode>
                <c:ptCount val="6"/>
                <c:pt idx="0">
                  <c:v>10.4</c:v>
                </c:pt>
                <c:pt idx="1">
                  <c:v>12.5</c:v>
                </c:pt>
                <c:pt idx="2">
                  <c:v>14.3</c:v>
                </c:pt>
                <c:pt idx="3">
                  <c:v>18.399999999999999</c:v>
                </c:pt>
                <c:pt idx="4">
                  <c:v>15.2</c:v>
                </c:pt>
                <c:pt idx="5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C-4E71-9B02-03618E47FC08}"/>
            </c:ext>
          </c:extLst>
        </c:ser>
        <c:ser>
          <c:idx val="3"/>
          <c:order val="3"/>
          <c:tx>
            <c:strRef>
              <c:f>'MWS 2019 Field'!$C$38:$C$43</c:f>
              <c:strCache>
                <c:ptCount val="6"/>
                <c:pt idx="0">
                  <c:v>Lair o' the Bear </c:v>
                </c:pt>
              </c:strCache>
            </c:strRef>
          </c:tx>
          <c:spPr>
            <a:ln w="22225" cap="rnd">
              <a:solidFill>
                <a:schemeClr val="accent4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Field'!$D$20:$D$25</c:f>
              <c:numCache>
                <c:formatCode>[$-409]d\-mmm;@</c:formatCode>
                <c:ptCount val="6"/>
                <c:pt idx="0">
                  <c:v>43599</c:v>
                </c:pt>
                <c:pt idx="1">
                  <c:v>43636</c:v>
                </c:pt>
                <c:pt idx="2">
                  <c:v>43655</c:v>
                </c:pt>
                <c:pt idx="3">
                  <c:v>43696</c:v>
                </c:pt>
                <c:pt idx="4">
                  <c:v>43725</c:v>
                </c:pt>
                <c:pt idx="5">
                  <c:v>43753</c:v>
                </c:pt>
              </c:numCache>
            </c:numRef>
          </c:cat>
          <c:val>
            <c:numRef>
              <c:f>'MWS 2019 Field'!$G$38:$G$43</c:f>
              <c:numCache>
                <c:formatCode>0.0</c:formatCode>
                <c:ptCount val="6"/>
                <c:pt idx="0">
                  <c:v>10.4</c:v>
                </c:pt>
                <c:pt idx="1">
                  <c:v>12.9</c:v>
                </c:pt>
                <c:pt idx="2">
                  <c:v>14.3</c:v>
                </c:pt>
                <c:pt idx="3">
                  <c:v>17.100000000000001</c:v>
                </c:pt>
                <c:pt idx="4">
                  <c:v>14.9</c:v>
                </c:pt>
                <c:pt idx="5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9C-4E71-9B02-03618E47FC08}"/>
            </c:ext>
          </c:extLst>
        </c:ser>
        <c:ser>
          <c:idx val="4"/>
          <c:order val="4"/>
          <c:tx>
            <c:strRef>
              <c:f>'MWS 2019 Field'!$C$44:$C$49</c:f>
              <c:strCache>
                <c:ptCount val="6"/>
                <c:pt idx="0">
                  <c:v> Idledale, Shady Lane</c:v>
                </c:pt>
              </c:strCache>
            </c:strRef>
          </c:tx>
          <c:spPr>
            <a:ln w="22225" cap="rnd">
              <a:solidFill>
                <a:schemeClr val="accent5"/>
              </a:solidFill>
            </a:ln>
            <a:effectLst>
              <a:glow rad="139700">
                <a:schemeClr val="accent5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Field'!$D$20:$D$25</c:f>
              <c:numCache>
                <c:formatCode>[$-409]d\-mmm;@</c:formatCode>
                <c:ptCount val="6"/>
                <c:pt idx="0">
                  <c:v>43599</c:v>
                </c:pt>
                <c:pt idx="1">
                  <c:v>43636</c:v>
                </c:pt>
                <c:pt idx="2">
                  <c:v>43655</c:v>
                </c:pt>
                <c:pt idx="3">
                  <c:v>43696</c:v>
                </c:pt>
                <c:pt idx="4">
                  <c:v>43725</c:v>
                </c:pt>
                <c:pt idx="5">
                  <c:v>43753</c:v>
                </c:pt>
              </c:numCache>
            </c:numRef>
          </c:cat>
          <c:val>
            <c:numRef>
              <c:f>'MWS 2019 Field'!$G$44:$G$49</c:f>
              <c:numCache>
                <c:formatCode>0.0</c:formatCode>
                <c:ptCount val="6"/>
                <c:pt idx="0">
                  <c:v>10.8</c:v>
                </c:pt>
                <c:pt idx="1">
                  <c:v>13.1</c:v>
                </c:pt>
                <c:pt idx="2">
                  <c:v>14.5</c:v>
                </c:pt>
                <c:pt idx="3">
                  <c:v>16.7</c:v>
                </c:pt>
                <c:pt idx="4">
                  <c:v>14.7</c:v>
                </c:pt>
                <c:pt idx="5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9C-4E71-9B02-03618E47FC08}"/>
            </c:ext>
          </c:extLst>
        </c:ser>
        <c:ser>
          <c:idx val="5"/>
          <c:order val="5"/>
          <c:tx>
            <c:strRef>
              <c:f>'MWS 2019 Field'!$C$50:$C$55</c:f>
              <c:strCache>
                <c:ptCount val="6"/>
                <c:pt idx="0">
                  <c:v>Morrison Park west</c:v>
                </c:pt>
              </c:strCache>
            </c:strRef>
          </c:tx>
          <c:spPr>
            <a:ln w="22225" cap="rnd">
              <a:solidFill>
                <a:schemeClr val="accent6"/>
              </a:solidFill>
            </a:ln>
            <a:effectLst>
              <a:glow rad="139700">
                <a:schemeClr val="accent6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Field'!$D$20:$D$25</c:f>
              <c:numCache>
                <c:formatCode>[$-409]d\-mmm;@</c:formatCode>
                <c:ptCount val="6"/>
                <c:pt idx="0">
                  <c:v>43599</c:v>
                </c:pt>
                <c:pt idx="1">
                  <c:v>43636</c:v>
                </c:pt>
                <c:pt idx="2">
                  <c:v>43655</c:v>
                </c:pt>
                <c:pt idx="3">
                  <c:v>43696</c:v>
                </c:pt>
                <c:pt idx="4">
                  <c:v>43725</c:v>
                </c:pt>
                <c:pt idx="5">
                  <c:v>43753</c:v>
                </c:pt>
              </c:numCache>
            </c:numRef>
          </c:cat>
          <c:val>
            <c:numRef>
              <c:f>'MWS 2019 Field'!$G$50:$G$55</c:f>
              <c:numCache>
                <c:formatCode>0.0</c:formatCode>
                <c:ptCount val="6"/>
                <c:pt idx="0">
                  <c:v>9.8000000000000007</c:v>
                </c:pt>
                <c:pt idx="1">
                  <c:v>9.6</c:v>
                </c:pt>
                <c:pt idx="2">
                  <c:v>14.9</c:v>
                </c:pt>
                <c:pt idx="3">
                  <c:v>15.8</c:v>
                </c:pt>
                <c:pt idx="4">
                  <c:v>13.5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9C-4E71-9B02-03618E47F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782016"/>
        <c:axId val="115783552"/>
      </c:lineChart>
      <c:dateAx>
        <c:axId val="11578201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m/d/yy;@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3552"/>
        <c:crosses val="autoZero"/>
        <c:auto val="1"/>
        <c:lblOffset val="100"/>
        <c:baseTimeUnit val="days"/>
        <c:majorUnit val="1"/>
        <c:majorTimeUnit val="months"/>
        <c:minorUnit val="15"/>
        <c:minorTimeUnit val="days"/>
      </c:dateAx>
      <c:valAx>
        <c:axId val="115783552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Segment 1e pH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'MWS 2019 Field'!$C$20:$C$25</c:f>
              <c:strCache>
                <c:ptCount val="6"/>
                <c:pt idx="0">
                  <c:v>Little Bear Evergreen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Field'!$P$20:$P$25</c:f>
              <c:numCache>
                <c:formatCode>#,##0</c:formatCode>
                <c:ptCount val="6"/>
                <c:pt idx="0">
                  <c:v>2766.2850000000003</c:v>
                </c:pt>
                <c:pt idx="1">
                  <c:v>5473.08</c:v>
                </c:pt>
                <c:pt idx="2">
                  <c:v>4759.2000000000007</c:v>
                </c:pt>
                <c:pt idx="3">
                  <c:v>1606.23</c:v>
                </c:pt>
                <c:pt idx="4">
                  <c:v>773.37</c:v>
                </c:pt>
                <c:pt idx="5">
                  <c:v>713.88</c:v>
                </c:pt>
              </c:numCache>
            </c:numRef>
          </c:cat>
          <c:val>
            <c:numRef>
              <c:f>'MWS 2019 Field'!$F$20:$F$25</c:f>
              <c:numCache>
                <c:formatCode>0.00</c:formatCode>
                <c:ptCount val="6"/>
                <c:pt idx="0">
                  <c:v>7.41</c:v>
                </c:pt>
                <c:pt idx="1">
                  <c:v>7.87</c:v>
                </c:pt>
                <c:pt idx="2">
                  <c:v>7.52</c:v>
                </c:pt>
                <c:pt idx="3">
                  <c:v>7.87</c:v>
                </c:pt>
                <c:pt idx="4">
                  <c:v>7.91</c:v>
                </c:pt>
                <c:pt idx="5">
                  <c:v>8.2899999999999991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8-415B-9980-983D3B190BF8}"/>
            </c:ext>
          </c:extLst>
        </c:ser>
        <c:ser>
          <c:idx val="1"/>
          <c:order val="1"/>
          <c:tx>
            <c:strRef>
              <c:f>'MWS 2019 Field'!$C$26:$C$31</c:f>
              <c:strCache>
                <c:ptCount val="6"/>
                <c:pt idx="0">
                  <c:v>Bear Creek Cabins 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Field'!$P$20:$P$25</c:f>
              <c:numCache>
                <c:formatCode>#,##0</c:formatCode>
                <c:ptCount val="6"/>
                <c:pt idx="0">
                  <c:v>2766.2850000000003</c:v>
                </c:pt>
                <c:pt idx="1">
                  <c:v>5473.08</c:v>
                </c:pt>
                <c:pt idx="2">
                  <c:v>4759.2000000000007</c:v>
                </c:pt>
                <c:pt idx="3">
                  <c:v>1606.23</c:v>
                </c:pt>
                <c:pt idx="4">
                  <c:v>773.37</c:v>
                </c:pt>
                <c:pt idx="5">
                  <c:v>713.88</c:v>
                </c:pt>
              </c:numCache>
            </c:numRef>
          </c:cat>
          <c:val>
            <c:numRef>
              <c:f>'MWS 2019 Field'!$F$26:$F$31</c:f>
              <c:numCache>
                <c:formatCode>0.00</c:formatCode>
                <c:ptCount val="6"/>
                <c:pt idx="0">
                  <c:v>7.5</c:v>
                </c:pt>
                <c:pt idx="1">
                  <c:v>7.58</c:v>
                </c:pt>
                <c:pt idx="2">
                  <c:v>7.62</c:v>
                </c:pt>
                <c:pt idx="3">
                  <c:v>7.58</c:v>
                </c:pt>
                <c:pt idx="4">
                  <c:v>8.0500000000000007</c:v>
                </c:pt>
                <c:pt idx="5">
                  <c:v>8.27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78-415B-9980-983D3B190BF8}"/>
            </c:ext>
          </c:extLst>
        </c:ser>
        <c:ser>
          <c:idx val="2"/>
          <c:order val="2"/>
          <c:tx>
            <c:strRef>
              <c:f>'MWS 2019 Field'!$C$32:$C$37</c:f>
              <c:strCache>
                <c:ptCount val="6"/>
                <c:pt idx="0">
                  <c:v>O'Fallon Park</c:v>
                </c:pt>
              </c:strCache>
            </c:strRef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Field'!$P$20:$P$25</c:f>
              <c:numCache>
                <c:formatCode>#,##0</c:formatCode>
                <c:ptCount val="6"/>
                <c:pt idx="0">
                  <c:v>2766.2850000000003</c:v>
                </c:pt>
                <c:pt idx="1">
                  <c:v>5473.08</c:v>
                </c:pt>
                <c:pt idx="2">
                  <c:v>4759.2000000000007</c:v>
                </c:pt>
                <c:pt idx="3">
                  <c:v>1606.23</c:v>
                </c:pt>
                <c:pt idx="4">
                  <c:v>773.37</c:v>
                </c:pt>
                <c:pt idx="5">
                  <c:v>713.88</c:v>
                </c:pt>
              </c:numCache>
            </c:numRef>
          </c:cat>
          <c:val>
            <c:numRef>
              <c:f>'MWS 2019 Field'!$F$32:$F$37</c:f>
              <c:numCache>
                <c:formatCode>0.00</c:formatCode>
                <c:ptCount val="6"/>
                <c:pt idx="0">
                  <c:v>7.87</c:v>
                </c:pt>
                <c:pt idx="1">
                  <c:v>7.83</c:v>
                </c:pt>
                <c:pt idx="2">
                  <c:v>8.0500000000000007</c:v>
                </c:pt>
                <c:pt idx="3">
                  <c:v>7.82</c:v>
                </c:pt>
                <c:pt idx="4">
                  <c:v>7.98</c:v>
                </c:pt>
                <c:pt idx="5">
                  <c:v>8.2899999999999991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78-415B-9980-983D3B190BF8}"/>
            </c:ext>
          </c:extLst>
        </c:ser>
        <c:ser>
          <c:idx val="3"/>
          <c:order val="3"/>
          <c:tx>
            <c:strRef>
              <c:f>'MWS 2019 Field'!$C$38:$C$43</c:f>
              <c:strCache>
                <c:ptCount val="6"/>
                <c:pt idx="0">
                  <c:v>Lair o' the Bear </c:v>
                </c:pt>
              </c:strCache>
            </c:strRef>
          </c:tx>
          <c:spPr>
            <a:ln w="22225" cap="rnd">
              <a:solidFill>
                <a:schemeClr val="accent4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Field'!$P$20:$P$25</c:f>
              <c:numCache>
                <c:formatCode>#,##0</c:formatCode>
                <c:ptCount val="6"/>
                <c:pt idx="0">
                  <c:v>2766.2850000000003</c:v>
                </c:pt>
                <c:pt idx="1">
                  <c:v>5473.08</c:v>
                </c:pt>
                <c:pt idx="2">
                  <c:v>4759.2000000000007</c:v>
                </c:pt>
                <c:pt idx="3">
                  <c:v>1606.23</c:v>
                </c:pt>
                <c:pt idx="4">
                  <c:v>773.37</c:v>
                </c:pt>
                <c:pt idx="5">
                  <c:v>713.88</c:v>
                </c:pt>
              </c:numCache>
            </c:numRef>
          </c:cat>
          <c:val>
            <c:numRef>
              <c:f>'MWS 2019 Field'!$F$38:$F$43</c:f>
              <c:numCache>
                <c:formatCode>0.00</c:formatCode>
                <c:ptCount val="6"/>
                <c:pt idx="0">
                  <c:v>7.89</c:v>
                </c:pt>
                <c:pt idx="1">
                  <c:v>7.84</c:v>
                </c:pt>
                <c:pt idx="2">
                  <c:v>7.84</c:v>
                </c:pt>
                <c:pt idx="3">
                  <c:v>7.83</c:v>
                </c:pt>
                <c:pt idx="4">
                  <c:v>7.91</c:v>
                </c:pt>
                <c:pt idx="5">
                  <c:v>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78-415B-9980-983D3B190BF8}"/>
            </c:ext>
          </c:extLst>
        </c:ser>
        <c:ser>
          <c:idx val="4"/>
          <c:order val="4"/>
          <c:tx>
            <c:strRef>
              <c:f>'MWS 2019 Field'!$C$44:$C$49</c:f>
              <c:strCache>
                <c:ptCount val="6"/>
                <c:pt idx="0">
                  <c:v> Idledale, Shady Lane</c:v>
                </c:pt>
              </c:strCache>
            </c:strRef>
          </c:tx>
          <c:spPr>
            <a:ln w="22225" cap="rnd">
              <a:solidFill>
                <a:schemeClr val="accent5"/>
              </a:solidFill>
            </a:ln>
            <a:effectLst>
              <a:glow rad="139700">
                <a:schemeClr val="accent5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Field'!$P$20:$P$25</c:f>
              <c:numCache>
                <c:formatCode>#,##0</c:formatCode>
                <c:ptCount val="6"/>
                <c:pt idx="0">
                  <c:v>2766.2850000000003</c:v>
                </c:pt>
                <c:pt idx="1">
                  <c:v>5473.08</c:v>
                </c:pt>
                <c:pt idx="2">
                  <c:v>4759.2000000000007</c:v>
                </c:pt>
                <c:pt idx="3">
                  <c:v>1606.23</c:v>
                </c:pt>
                <c:pt idx="4">
                  <c:v>773.37</c:v>
                </c:pt>
                <c:pt idx="5">
                  <c:v>713.88</c:v>
                </c:pt>
              </c:numCache>
            </c:numRef>
          </c:cat>
          <c:val>
            <c:numRef>
              <c:f>'MWS 2019 Field'!$F$44:$F$49</c:f>
              <c:numCache>
                <c:formatCode>0.00</c:formatCode>
                <c:ptCount val="6"/>
                <c:pt idx="0">
                  <c:v>7.82</c:v>
                </c:pt>
                <c:pt idx="1">
                  <c:v>7.72</c:v>
                </c:pt>
                <c:pt idx="2">
                  <c:v>7.89</c:v>
                </c:pt>
                <c:pt idx="3">
                  <c:v>8</c:v>
                </c:pt>
                <c:pt idx="4">
                  <c:v>7.84</c:v>
                </c:pt>
                <c:pt idx="5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78-415B-9980-983D3B190BF8}"/>
            </c:ext>
          </c:extLst>
        </c:ser>
        <c:ser>
          <c:idx val="5"/>
          <c:order val="5"/>
          <c:tx>
            <c:strRef>
              <c:f>'MWS 2019 Field'!$C$50:$C$55</c:f>
              <c:strCache>
                <c:ptCount val="6"/>
                <c:pt idx="0">
                  <c:v>Morrison Park west</c:v>
                </c:pt>
              </c:strCache>
            </c:strRef>
          </c:tx>
          <c:spPr>
            <a:ln w="22225" cap="rnd">
              <a:solidFill>
                <a:schemeClr val="accent6"/>
              </a:solidFill>
            </a:ln>
            <a:effectLst>
              <a:glow rad="139700">
                <a:schemeClr val="accent6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Field'!$P$20:$P$25</c:f>
              <c:numCache>
                <c:formatCode>#,##0</c:formatCode>
                <c:ptCount val="6"/>
                <c:pt idx="0">
                  <c:v>2766.2850000000003</c:v>
                </c:pt>
                <c:pt idx="1">
                  <c:v>5473.08</c:v>
                </c:pt>
                <c:pt idx="2">
                  <c:v>4759.2000000000007</c:v>
                </c:pt>
                <c:pt idx="3">
                  <c:v>1606.23</c:v>
                </c:pt>
                <c:pt idx="4">
                  <c:v>773.37</c:v>
                </c:pt>
                <c:pt idx="5">
                  <c:v>713.88</c:v>
                </c:pt>
              </c:numCache>
            </c:numRef>
          </c:cat>
          <c:val>
            <c:numRef>
              <c:f>'MWS 2019 Field'!$F$50:$F$55</c:f>
              <c:numCache>
                <c:formatCode>0.00</c:formatCode>
                <c:ptCount val="6"/>
                <c:pt idx="0">
                  <c:v>7.96</c:v>
                </c:pt>
                <c:pt idx="1">
                  <c:v>8.17</c:v>
                </c:pt>
                <c:pt idx="2">
                  <c:v>7.84</c:v>
                </c:pt>
                <c:pt idx="3">
                  <c:v>8.0399999999999991</c:v>
                </c:pt>
                <c:pt idx="4">
                  <c:v>7.26</c:v>
                </c:pt>
                <c:pt idx="5">
                  <c:v>8.2100000000000009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78-415B-9980-983D3B190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796416"/>
        <c:axId val="116814592"/>
      </c:lineChart>
      <c:catAx>
        <c:axId val="11679641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m/d/yy;@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814592"/>
        <c:crosses val="autoZero"/>
        <c:auto val="1"/>
        <c:lblAlgn val="ctr"/>
        <c:lblOffset val="100"/>
        <c:tickLblSkip val="1"/>
        <c:noMultiLvlLbl val="1"/>
      </c:catAx>
      <c:valAx>
        <c:axId val="1168145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79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/>
            </a:pPr>
            <a:r>
              <a:rPr lang="en-US" b="1"/>
              <a:t>Bear Creek Reservoir - Nitrate Trend</a:t>
            </a:r>
          </a:p>
        </c:rich>
      </c:tx>
      <c:layout>
        <c:manualLayout>
          <c:xMode val="edge"/>
          <c:yMode val="edge"/>
          <c:x val="0.28640000000000032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52547235943372"/>
          <c:y val="0.11286681715575585"/>
          <c:w val="0.85395559250754671"/>
          <c:h val="0.685408936885985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'Nitrogen Trends'!$A$80</c:f>
              <c:strCache>
                <c:ptCount val="1"/>
                <c:pt idx="0">
                  <c:v>Reservoir Average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numRef>
              <c:f>'Nitrogen Trends'!$B$81:$B$105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'Nitrogen Trends'!$C$81:$C$105</c:f>
              <c:numCache>
                <c:formatCode>0</c:formatCode>
                <c:ptCount val="25"/>
                <c:pt idx="0">
                  <c:v>388</c:v>
                </c:pt>
                <c:pt idx="1">
                  <c:v>266</c:v>
                </c:pt>
                <c:pt idx="2">
                  <c:v>429</c:v>
                </c:pt>
                <c:pt idx="3">
                  <c:v>348.66666666666669</c:v>
                </c:pt>
                <c:pt idx="4">
                  <c:v>493</c:v>
                </c:pt>
                <c:pt idx="5">
                  <c:v>575.97916666666663</c:v>
                </c:pt>
                <c:pt idx="6">
                  <c:v>366.34357142857152</c:v>
                </c:pt>
                <c:pt idx="7">
                  <c:v>367.33333333333331</c:v>
                </c:pt>
                <c:pt idx="8">
                  <c:v>225</c:v>
                </c:pt>
                <c:pt idx="9">
                  <c:v>452.33333333333331</c:v>
                </c:pt>
                <c:pt idx="10">
                  <c:v>395.33333333333331</c:v>
                </c:pt>
                <c:pt idx="11">
                  <c:v>281.66666666666669</c:v>
                </c:pt>
                <c:pt idx="12" formatCode="#,##0">
                  <c:v>268</c:v>
                </c:pt>
                <c:pt idx="13" formatCode="#,##0">
                  <c:v>247</c:v>
                </c:pt>
                <c:pt idx="14" formatCode="#,##0">
                  <c:v>207</c:v>
                </c:pt>
                <c:pt idx="15" formatCode="#,##0">
                  <c:v>153</c:v>
                </c:pt>
                <c:pt idx="16" formatCode="#,##0">
                  <c:v>229</c:v>
                </c:pt>
                <c:pt idx="17" formatCode="#,##0">
                  <c:v>232</c:v>
                </c:pt>
                <c:pt idx="18" formatCode="#,##0">
                  <c:v>267</c:v>
                </c:pt>
                <c:pt idx="19" formatCode="#,##0">
                  <c:v>254</c:v>
                </c:pt>
                <c:pt idx="20" formatCode="#,##0">
                  <c:v>172</c:v>
                </c:pt>
                <c:pt idx="21" formatCode="#,##0">
                  <c:v>133.5</c:v>
                </c:pt>
                <c:pt idx="22" formatCode="#,##0">
                  <c:v>153</c:v>
                </c:pt>
                <c:pt idx="23" formatCode="#,##0">
                  <c:v>291</c:v>
                </c:pt>
                <c:pt idx="24" formatCode="#,##0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4-4DF6-8CB2-BE02A875A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axId val="107444480"/>
        <c:axId val="107454464"/>
      </c:barChart>
      <c:catAx>
        <c:axId val="10744448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/>
            </a:pPr>
            <a:endParaRPr lang="en-US"/>
          </a:p>
        </c:txPr>
        <c:crossAx val="10745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454464"/>
        <c:scaling>
          <c:orientation val="minMax"/>
          <c:max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Nitrate (ug/l)</a:t>
                </a:r>
              </a:p>
            </c:rich>
          </c:tx>
          <c:layout>
            <c:manualLayout>
              <c:xMode val="edge"/>
              <c:yMode val="edge"/>
              <c:x val="1.5633263233400172E-2"/>
              <c:y val="0.372045614987781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074444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  <a:alpha val="51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verticalDpi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Segement 1e Dissolved Oxygen</a:t>
            </a:r>
          </a:p>
        </c:rich>
      </c:tx>
      <c:layout>
        <c:manualLayout>
          <c:xMode val="edge"/>
          <c:yMode val="edge"/>
          <c:x val="0.28190221648943237"/>
          <c:y val="2.74661267973747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85977945599744"/>
          <c:y val="0.26221799988383959"/>
          <c:w val="0.8737191133298825"/>
          <c:h val="0.64190071604589993"/>
        </c:manualLayout>
      </c:layout>
      <c:lineChart>
        <c:grouping val="standard"/>
        <c:varyColors val="0"/>
        <c:ser>
          <c:idx val="0"/>
          <c:order val="0"/>
          <c:tx>
            <c:strRef>
              <c:f>'MWS 2019 Field'!$C$20:$C$25</c:f>
              <c:strCache>
                <c:ptCount val="6"/>
                <c:pt idx="0">
                  <c:v>Little Bear Evergreen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Field'!$I$20:$I$25</c:f>
              <c:numCache>
                <c:formatCode>0.00</c:formatCode>
                <c:ptCount val="6"/>
                <c:pt idx="0">
                  <c:v>12.21</c:v>
                </c:pt>
                <c:pt idx="1">
                  <c:v>9.01</c:v>
                </c:pt>
                <c:pt idx="2">
                  <c:v>9.31</c:v>
                </c:pt>
                <c:pt idx="3">
                  <c:v>9.69</c:v>
                </c:pt>
                <c:pt idx="4">
                  <c:v>9.1</c:v>
                </c:pt>
                <c:pt idx="5">
                  <c:v>12.29</c:v>
                </c:pt>
              </c:numCache>
            </c:numRef>
          </c:cat>
          <c:val>
            <c:numRef>
              <c:f>'MWS 2019 Field'!$I$20:$I$25</c:f>
              <c:numCache>
                <c:formatCode>0.00</c:formatCode>
                <c:ptCount val="6"/>
                <c:pt idx="0">
                  <c:v>12.21</c:v>
                </c:pt>
                <c:pt idx="1">
                  <c:v>9.01</c:v>
                </c:pt>
                <c:pt idx="2">
                  <c:v>9.31</c:v>
                </c:pt>
                <c:pt idx="3">
                  <c:v>9.69</c:v>
                </c:pt>
                <c:pt idx="4">
                  <c:v>9.1</c:v>
                </c:pt>
                <c:pt idx="5">
                  <c:v>12.29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AD-41E9-B9ED-C252A2EB3389}"/>
            </c:ext>
          </c:extLst>
        </c:ser>
        <c:ser>
          <c:idx val="1"/>
          <c:order val="1"/>
          <c:tx>
            <c:strRef>
              <c:f>'MWS 2019 Field'!$C$26:$C$31</c:f>
              <c:strCache>
                <c:ptCount val="6"/>
                <c:pt idx="0">
                  <c:v>Bear Creek Cabins 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Field'!$I$20:$I$25</c:f>
              <c:numCache>
                <c:formatCode>0.00</c:formatCode>
                <c:ptCount val="6"/>
                <c:pt idx="0">
                  <c:v>12.21</c:v>
                </c:pt>
                <c:pt idx="1">
                  <c:v>9.01</c:v>
                </c:pt>
                <c:pt idx="2">
                  <c:v>9.31</c:v>
                </c:pt>
                <c:pt idx="3">
                  <c:v>9.69</c:v>
                </c:pt>
                <c:pt idx="4">
                  <c:v>9.1</c:v>
                </c:pt>
                <c:pt idx="5">
                  <c:v>12.29</c:v>
                </c:pt>
              </c:numCache>
            </c:numRef>
          </c:cat>
          <c:val>
            <c:numRef>
              <c:f>'MWS 2019 Field'!$I$26:$I$31</c:f>
              <c:numCache>
                <c:formatCode>0.00</c:formatCode>
                <c:ptCount val="6"/>
                <c:pt idx="0">
                  <c:v>12.08</c:v>
                </c:pt>
                <c:pt idx="1">
                  <c:v>8.91</c:v>
                </c:pt>
                <c:pt idx="2">
                  <c:v>9.2899999999999991</c:v>
                </c:pt>
                <c:pt idx="3">
                  <c:v>9.18</c:v>
                </c:pt>
                <c:pt idx="4">
                  <c:v>8.66</c:v>
                </c:pt>
                <c:pt idx="5">
                  <c:v>12.28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AD-41E9-B9ED-C252A2EB3389}"/>
            </c:ext>
          </c:extLst>
        </c:ser>
        <c:ser>
          <c:idx val="2"/>
          <c:order val="2"/>
          <c:tx>
            <c:strRef>
              <c:f>'MWS 2019 Field'!$C$32:$C$37</c:f>
              <c:strCache>
                <c:ptCount val="6"/>
                <c:pt idx="0">
                  <c:v>O'Fallon Park</c:v>
                </c:pt>
              </c:strCache>
            </c:strRef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Field'!$I$20:$I$25</c:f>
              <c:numCache>
                <c:formatCode>0.00</c:formatCode>
                <c:ptCount val="6"/>
                <c:pt idx="0">
                  <c:v>12.21</c:v>
                </c:pt>
                <c:pt idx="1">
                  <c:v>9.01</c:v>
                </c:pt>
                <c:pt idx="2">
                  <c:v>9.31</c:v>
                </c:pt>
                <c:pt idx="3">
                  <c:v>9.69</c:v>
                </c:pt>
                <c:pt idx="4">
                  <c:v>9.1</c:v>
                </c:pt>
                <c:pt idx="5">
                  <c:v>12.29</c:v>
                </c:pt>
              </c:numCache>
            </c:numRef>
          </c:cat>
          <c:val>
            <c:numRef>
              <c:f>'MWS 2019 Field'!$I$32:$I$37</c:f>
              <c:numCache>
                <c:formatCode>0.00</c:formatCode>
                <c:ptCount val="6"/>
                <c:pt idx="0">
                  <c:v>12.64</c:v>
                </c:pt>
                <c:pt idx="1">
                  <c:v>8.83</c:v>
                </c:pt>
                <c:pt idx="2">
                  <c:v>9.4700000000000006</c:v>
                </c:pt>
                <c:pt idx="3">
                  <c:v>9.93</c:v>
                </c:pt>
                <c:pt idx="4">
                  <c:v>9.69</c:v>
                </c:pt>
                <c:pt idx="5">
                  <c:v>12.88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AD-41E9-B9ED-C252A2EB3389}"/>
            </c:ext>
          </c:extLst>
        </c:ser>
        <c:ser>
          <c:idx val="3"/>
          <c:order val="3"/>
          <c:tx>
            <c:strRef>
              <c:f>'MWS 2019 Field'!$C$38:$C$43</c:f>
              <c:strCache>
                <c:ptCount val="6"/>
                <c:pt idx="0">
                  <c:v>Lair o' the Bear </c:v>
                </c:pt>
              </c:strCache>
            </c:strRef>
          </c:tx>
          <c:spPr>
            <a:ln w="22225" cap="rnd">
              <a:solidFill>
                <a:schemeClr val="accent4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Field'!$I$20:$I$25</c:f>
              <c:numCache>
                <c:formatCode>0.00</c:formatCode>
                <c:ptCount val="6"/>
                <c:pt idx="0">
                  <c:v>12.21</c:v>
                </c:pt>
                <c:pt idx="1">
                  <c:v>9.01</c:v>
                </c:pt>
                <c:pt idx="2">
                  <c:v>9.31</c:v>
                </c:pt>
                <c:pt idx="3">
                  <c:v>9.69</c:v>
                </c:pt>
                <c:pt idx="4">
                  <c:v>9.1</c:v>
                </c:pt>
                <c:pt idx="5">
                  <c:v>12.29</c:v>
                </c:pt>
              </c:numCache>
            </c:numRef>
          </c:cat>
          <c:val>
            <c:numRef>
              <c:f>'MWS 2019 Field'!$I$38:$I$43</c:f>
              <c:numCache>
                <c:formatCode>0.00</c:formatCode>
                <c:ptCount val="6"/>
                <c:pt idx="0">
                  <c:v>11.98</c:v>
                </c:pt>
                <c:pt idx="1">
                  <c:v>9.02</c:v>
                </c:pt>
                <c:pt idx="2">
                  <c:v>9.26</c:v>
                </c:pt>
                <c:pt idx="3">
                  <c:v>9.9700000000000006</c:v>
                </c:pt>
                <c:pt idx="4">
                  <c:v>9.23</c:v>
                </c:pt>
                <c:pt idx="5">
                  <c:v>13.92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AD-41E9-B9ED-C252A2EB3389}"/>
            </c:ext>
          </c:extLst>
        </c:ser>
        <c:ser>
          <c:idx val="4"/>
          <c:order val="4"/>
          <c:tx>
            <c:strRef>
              <c:f>'MWS 2019 Field'!$C$44:$C$49</c:f>
              <c:strCache>
                <c:ptCount val="6"/>
                <c:pt idx="0">
                  <c:v> Idledale, Shady Lane</c:v>
                </c:pt>
              </c:strCache>
            </c:strRef>
          </c:tx>
          <c:spPr>
            <a:ln w="22225" cap="rnd">
              <a:solidFill>
                <a:schemeClr val="accent5"/>
              </a:solidFill>
            </a:ln>
            <a:effectLst>
              <a:glow rad="139700">
                <a:schemeClr val="accent5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Field'!$I$20:$I$25</c:f>
              <c:numCache>
                <c:formatCode>0.00</c:formatCode>
                <c:ptCount val="6"/>
                <c:pt idx="0">
                  <c:v>12.21</c:v>
                </c:pt>
                <c:pt idx="1">
                  <c:v>9.01</c:v>
                </c:pt>
                <c:pt idx="2">
                  <c:v>9.31</c:v>
                </c:pt>
                <c:pt idx="3">
                  <c:v>9.69</c:v>
                </c:pt>
                <c:pt idx="4">
                  <c:v>9.1</c:v>
                </c:pt>
                <c:pt idx="5">
                  <c:v>12.29</c:v>
                </c:pt>
              </c:numCache>
            </c:numRef>
          </c:cat>
          <c:val>
            <c:numRef>
              <c:f>'MWS 2019 Field'!$I$44:$I$49</c:f>
              <c:numCache>
                <c:formatCode>0.00</c:formatCode>
                <c:ptCount val="6"/>
                <c:pt idx="0">
                  <c:v>12.17</c:v>
                </c:pt>
                <c:pt idx="1">
                  <c:v>8.76</c:v>
                </c:pt>
                <c:pt idx="2">
                  <c:v>9.19</c:v>
                </c:pt>
                <c:pt idx="3">
                  <c:v>10.210000000000001</c:v>
                </c:pt>
                <c:pt idx="4">
                  <c:v>9.4</c:v>
                </c:pt>
                <c:pt idx="5">
                  <c:v>12.86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AD-41E9-B9ED-C252A2EB3389}"/>
            </c:ext>
          </c:extLst>
        </c:ser>
        <c:ser>
          <c:idx val="5"/>
          <c:order val="5"/>
          <c:tx>
            <c:strRef>
              <c:f>'MWS 2019 Field'!$C$50:$C$55</c:f>
              <c:strCache>
                <c:ptCount val="6"/>
                <c:pt idx="0">
                  <c:v>Morrison Park west</c:v>
                </c:pt>
              </c:strCache>
            </c:strRef>
          </c:tx>
          <c:spPr>
            <a:ln w="22225" cap="rnd">
              <a:solidFill>
                <a:schemeClr val="accent6"/>
              </a:solidFill>
            </a:ln>
            <a:effectLst>
              <a:glow rad="139700">
                <a:schemeClr val="accent6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Field'!$I$20:$I$25</c:f>
              <c:numCache>
                <c:formatCode>0.00</c:formatCode>
                <c:ptCount val="6"/>
                <c:pt idx="0">
                  <c:v>12.21</c:v>
                </c:pt>
                <c:pt idx="1">
                  <c:v>9.01</c:v>
                </c:pt>
                <c:pt idx="2">
                  <c:v>9.31</c:v>
                </c:pt>
                <c:pt idx="3">
                  <c:v>9.69</c:v>
                </c:pt>
                <c:pt idx="4">
                  <c:v>9.1</c:v>
                </c:pt>
                <c:pt idx="5">
                  <c:v>12.29</c:v>
                </c:pt>
              </c:numCache>
            </c:numRef>
          </c:cat>
          <c:val>
            <c:numRef>
              <c:f>'MWS 2019 Field'!$I$50:$I$55</c:f>
              <c:numCache>
                <c:formatCode>0.00</c:formatCode>
                <c:ptCount val="6"/>
                <c:pt idx="0">
                  <c:v>10.050000000000001</c:v>
                </c:pt>
                <c:pt idx="1">
                  <c:v>11.07</c:v>
                </c:pt>
                <c:pt idx="2">
                  <c:v>9.34</c:v>
                </c:pt>
                <c:pt idx="3">
                  <c:v>10.29</c:v>
                </c:pt>
                <c:pt idx="4">
                  <c:v>9.69</c:v>
                </c:pt>
                <c:pt idx="5">
                  <c:v>12.82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AD-41E9-B9ED-C252A2EB3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710400"/>
        <c:axId val="114711936"/>
      </c:lineChart>
      <c:catAx>
        <c:axId val="1147104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[$-409]mmmmm;@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11936"/>
        <c:crosses val="autoZero"/>
        <c:auto val="1"/>
        <c:lblAlgn val="ctr"/>
        <c:lblOffset val="100"/>
        <c:tickLblSkip val="1"/>
        <c:noMultiLvlLbl val="1"/>
      </c:catAx>
      <c:valAx>
        <c:axId val="114711936"/>
        <c:scaling>
          <c:orientation val="minMax"/>
          <c:max val="14"/>
          <c:min val="6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DO mg/l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1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322419245570225"/>
          <c:y val="0.14272918861959957"/>
          <c:w val="0.71355142922725356"/>
          <c:h val="0.1751856492121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Segment 1e Specific Conductance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73979707516575"/>
          <c:y val="0.33681772750542405"/>
          <c:w val="0.87764575464211747"/>
          <c:h val="0.54982618658735782"/>
        </c:manualLayout>
      </c:layout>
      <c:lineChart>
        <c:grouping val="standard"/>
        <c:varyColors val="0"/>
        <c:ser>
          <c:idx val="0"/>
          <c:order val="0"/>
          <c:tx>
            <c:strRef>
              <c:f>'MWS 2019 Field'!$C$20:$C$25</c:f>
              <c:strCache>
                <c:ptCount val="6"/>
                <c:pt idx="0">
                  <c:v>Little Bear Evergreen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Field'!$P$20:$P$25</c:f>
              <c:numCache>
                <c:formatCode>#,##0</c:formatCode>
                <c:ptCount val="6"/>
                <c:pt idx="0">
                  <c:v>2766.2850000000003</c:v>
                </c:pt>
                <c:pt idx="1">
                  <c:v>5473.08</c:v>
                </c:pt>
                <c:pt idx="2">
                  <c:v>4759.2000000000007</c:v>
                </c:pt>
                <c:pt idx="3">
                  <c:v>1606.23</c:v>
                </c:pt>
                <c:pt idx="4">
                  <c:v>773.37</c:v>
                </c:pt>
                <c:pt idx="5">
                  <c:v>713.88</c:v>
                </c:pt>
              </c:numCache>
            </c:numRef>
          </c:cat>
          <c:val>
            <c:numRef>
              <c:f>'MWS 2019 Field'!$J$20:$J$25</c:f>
              <c:numCache>
                <c:formatCode>0.0</c:formatCode>
                <c:ptCount val="6"/>
                <c:pt idx="0">
                  <c:v>123</c:v>
                </c:pt>
                <c:pt idx="1">
                  <c:v>66.099999999999994</c:v>
                </c:pt>
                <c:pt idx="2">
                  <c:v>54.9</c:v>
                </c:pt>
                <c:pt idx="3">
                  <c:v>68.3</c:v>
                </c:pt>
                <c:pt idx="4">
                  <c:v>70.900000000000006</c:v>
                </c:pt>
                <c:pt idx="5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2-4559-B222-7954489A2383}"/>
            </c:ext>
          </c:extLst>
        </c:ser>
        <c:ser>
          <c:idx val="1"/>
          <c:order val="1"/>
          <c:tx>
            <c:strRef>
              <c:f>'MWS 2019 Field'!$C$26:$C$31</c:f>
              <c:strCache>
                <c:ptCount val="6"/>
                <c:pt idx="0">
                  <c:v>Bear Creek Cabins 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Field'!$P$20:$P$25</c:f>
              <c:numCache>
                <c:formatCode>#,##0</c:formatCode>
                <c:ptCount val="6"/>
                <c:pt idx="0">
                  <c:v>2766.2850000000003</c:v>
                </c:pt>
                <c:pt idx="1">
                  <c:v>5473.08</c:v>
                </c:pt>
                <c:pt idx="2">
                  <c:v>4759.2000000000007</c:v>
                </c:pt>
                <c:pt idx="3">
                  <c:v>1606.23</c:v>
                </c:pt>
                <c:pt idx="4">
                  <c:v>773.37</c:v>
                </c:pt>
                <c:pt idx="5">
                  <c:v>713.88</c:v>
                </c:pt>
              </c:numCache>
            </c:numRef>
          </c:cat>
          <c:val>
            <c:numRef>
              <c:f>'MWS 2019 Field'!$J$26:$J$31</c:f>
              <c:numCache>
                <c:formatCode>0.0</c:formatCode>
                <c:ptCount val="6"/>
                <c:pt idx="0">
                  <c:v>137.6</c:v>
                </c:pt>
                <c:pt idx="1">
                  <c:v>71.900000000000006</c:v>
                </c:pt>
                <c:pt idx="2">
                  <c:v>73.3</c:v>
                </c:pt>
                <c:pt idx="3">
                  <c:v>88.5</c:v>
                </c:pt>
                <c:pt idx="4">
                  <c:v>93.6</c:v>
                </c:pt>
                <c:pt idx="5">
                  <c:v>100.9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F2-4559-B222-7954489A2383}"/>
            </c:ext>
          </c:extLst>
        </c:ser>
        <c:ser>
          <c:idx val="2"/>
          <c:order val="2"/>
          <c:tx>
            <c:strRef>
              <c:f>'MWS 2019 Field'!$C$32:$C$37</c:f>
              <c:strCache>
                <c:ptCount val="6"/>
                <c:pt idx="0">
                  <c:v>O'Fallon Park</c:v>
                </c:pt>
              </c:strCache>
            </c:strRef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Field'!$P$20:$P$25</c:f>
              <c:numCache>
                <c:formatCode>#,##0</c:formatCode>
                <c:ptCount val="6"/>
                <c:pt idx="0">
                  <c:v>2766.2850000000003</c:v>
                </c:pt>
                <c:pt idx="1">
                  <c:v>5473.08</c:v>
                </c:pt>
                <c:pt idx="2">
                  <c:v>4759.2000000000007</c:v>
                </c:pt>
                <c:pt idx="3">
                  <c:v>1606.23</c:v>
                </c:pt>
                <c:pt idx="4">
                  <c:v>773.37</c:v>
                </c:pt>
                <c:pt idx="5">
                  <c:v>713.88</c:v>
                </c:pt>
              </c:numCache>
            </c:numRef>
          </c:cat>
          <c:val>
            <c:numRef>
              <c:f>'MWS 2019 Field'!$J$32:$J$37</c:f>
              <c:numCache>
                <c:formatCode>0.0</c:formatCode>
                <c:ptCount val="6"/>
                <c:pt idx="0">
                  <c:v>160.4</c:v>
                </c:pt>
                <c:pt idx="1">
                  <c:v>82.7</c:v>
                </c:pt>
                <c:pt idx="2">
                  <c:v>88</c:v>
                </c:pt>
                <c:pt idx="3">
                  <c:v>111</c:v>
                </c:pt>
                <c:pt idx="4">
                  <c:v>122.6</c:v>
                </c:pt>
                <c:pt idx="5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F2-4559-B222-7954489A2383}"/>
            </c:ext>
          </c:extLst>
        </c:ser>
        <c:ser>
          <c:idx val="3"/>
          <c:order val="3"/>
          <c:tx>
            <c:strRef>
              <c:f>'MWS 2019 Field'!$C$38:$C$43</c:f>
              <c:strCache>
                <c:ptCount val="6"/>
                <c:pt idx="0">
                  <c:v>Lair o' the Bear </c:v>
                </c:pt>
              </c:strCache>
            </c:strRef>
          </c:tx>
          <c:spPr>
            <a:ln w="22225" cap="rnd">
              <a:solidFill>
                <a:schemeClr val="accent4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Field'!$P$20:$P$25</c:f>
              <c:numCache>
                <c:formatCode>#,##0</c:formatCode>
                <c:ptCount val="6"/>
                <c:pt idx="0">
                  <c:v>2766.2850000000003</c:v>
                </c:pt>
                <c:pt idx="1">
                  <c:v>5473.08</c:v>
                </c:pt>
                <c:pt idx="2">
                  <c:v>4759.2000000000007</c:v>
                </c:pt>
                <c:pt idx="3">
                  <c:v>1606.23</c:v>
                </c:pt>
                <c:pt idx="4">
                  <c:v>773.37</c:v>
                </c:pt>
                <c:pt idx="5">
                  <c:v>713.88</c:v>
                </c:pt>
              </c:numCache>
            </c:numRef>
          </c:cat>
          <c:val>
            <c:numRef>
              <c:f>'MWS 2019 Field'!$J$38:$J$43</c:f>
              <c:numCache>
                <c:formatCode>0.0</c:formatCode>
                <c:ptCount val="6"/>
                <c:pt idx="0">
                  <c:v>173.5</c:v>
                </c:pt>
                <c:pt idx="1">
                  <c:v>93.4</c:v>
                </c:pt>
                <c:pt idx="2">
                  <c:v>106.4</c:v>
                </c:pt>
                <c:pt idx="3">
                  <c:v>124.4</c:v>
                </c:pt>
                <c:pt idx="4">
                  <c:v>168.9</c:v>
                </c:pt>
                <c:pt idx="5">
                  <c:v>158.19999999999999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F2-4559-B222-7954489A2383}"/>
            </c:ext>
          </c:extLst>
        </c:ser>
        <c:ser>
          <c:idx val="4"/>
          <c:order val="4"/>
          <c:tx>
            <c:strRef>
              <c:f>'MWS 2019 Field'!$C$44:$C$49</c:f>
              <c:strCache>
                <c:ptCount val="6"/>
                <c:pt idx="0">
                  <c:v> Idledale, Shady Lane</c:v>
                </c:pt>
              </c:strCache>
            </c:strRef>
          </c:tx>
          <c:spPr>
            <a:ln w="22225" cap="rnd">
              <a:solidFill>
                <a:schemeClr val="accent5"/>
              </a:solidFill>
            </a:ln>
            <a:effectLst>
              <a:glow rad="139700">
                <a:schemeClr val="accent5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Field'!$P$20:$P$25</c:f>
              <c:numCache>
                <c:formatCode>#,##0</c:formatCode>
                <c:ptCount val="6"/>
                <c:pt idx="0">
                  <c:v>2766.2850000000003</c:v>
                </c:pt>
                <c:pt idx="1">
                  <c:v>5473.08</c:v>
                </c:pt>
                <c:pt idx="2">
                  <c:v>4759.2000000000007</c:v>
                </c:pt>
                <c:pt idx="3">
                  <c:v>1606.23</c:v>
                </c:pt>
                <c:pt idx="4">
                  <c:v>773.37</c:v>
                </c:pt>
                <c:pt idx="5">
                  <c:v>713.88</c:v>
                </c:pt>
              </c:numCache>
            </c:numRef>
          </c:cat>
          <c:val>
            <c:numRef>
              <c:f>'MWS 2019 Field'!$J$44:$J$49</c:f>
              <c:numCache>
                <c:formatCode>0.0</c:formatCode>
                <c:ptCount val="6"/>
                <c:pt idx="0">
                  <c:v>186.2</c:v>
                </c:pt>
                <c:pt idx="1">
                  <c:v>92.6</c:v>
                </c:pt>
                <c:pt idx="2">
                  <c:v>104.6</c:v>
                </c:pt>
                <c:pt idx="3">
                  <c:v>124.7</c:v>
                </c:pt>
                <c:pt idx="4">
                  <c:v>172.1</c:v>
                </c:pt>
                <c:pt idx="5">
                  <c:v>168.9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F2-4559-B222-7954489A2383}"/>
            </c:ext>
          </c:extLst>
        </c:ser>
        <c:ser>
          <c:idx val="5"/>
          <c:order val="5"/>
          <c:tx>
            <c:strRef>
              <c:f>'MWS 2019 Field'!$C$50:$C$55</c:f>
              <c:strCache>
                <c:ptCount val="6"/>
                <c:pt idx="0">
                  <c:v>Morrison Park west</c:v>
                </c:pt>
              </c:strCache>
            </c:strRef>
          </c:tx>
          <c:spPr>
            <a:ln w="22225" cap="rnd">
              <a:solidFill>
                <a:schemeClr val="accent6"/>
              </a:solidFill>
            </a:ln>
            <a:effectLst>
              <a:glow rad="139700">
                <a:schemeClr val="accent6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numRef>
              <c:f>'MWS 2019 Field'!$P$20:$P$25</c:f>
              <c:numCache>
                <c:formatCode>#,##0</c:formatCode>
                <c:ptCount val="6"/>
                <c:pt idx="0">
                  <c:v>2766.2850000000003</c:v>
                </c:pt>
                <c:pt idx="1">
                  <c:v>5473.08</c:v>
                </c:pt>
                <c:pt idx="2">
                  <c:v>4759.2000000000007</c:v>
                </c:pt>
                <c:pt idx="3">
                  <c:v>1606.23</c:v>
                </c:pt>
                <c:pt idx="4">
                  <c:v>773.37</c:v>
                </c:pt>
                <c:pt idx="5">
                  <c:v>713.88</c:v>
                </c:pt>
              </c:numCache>
            </c:numRef>
          </c:cat>
          <c:val>
            <c:numRef>
              <c:f>'MWS 2019 Field'!$J$50:$J$55</c:f>
              <c:numCache>
                <c:formatCode>0.0</c:formatCode>
                <c:ptCount val="6"/>
                <c:pt idx="0">
                  <c:v>226</c:v>
                </c:pt>
                <c:pt idx="1">
                  <c:v>113.8</c:v>
                </c:pt>
                <c:pt idx="2">
                  <c:v>103</c:v>
                </c:pt>
                <c:pt idx="3">
                  <c:v>119.5</c:v>
                </c:pt>
                <c:pt idx="4">
                  <c:v>202.2</c:v>
                </c:pt>
                <c:pt idx="5">
                  <c:v>187.9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F2-4559-B222-7954489A2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859648"/>
        <c:axId val="116861184"/>
      </c:lineChart>
      <c:dateAx>
        <c:axId val="11685964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m/d/yy;@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86118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168611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Specific Conductance ms/cm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85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7.1611221239182316E-2"/>
          <c:y val="0.1538816471470478"/>
          <c:w val="0.89230556334191791"/>
          <c:h val="0.192726791504003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Estimated Periphyton Coverage Substrate %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'MWS 2019 Field'!$C$74:$C$79</c:f>
              <c:strCache>
                <c:ptCount val="6"/>
                <c:pt idx="0">
                  <c:v>Troublesome at Culvert above West Jeff</c:v>
                </c:pt>
              </c:strCache>
            </c:strRef>
          </c:tx>
          <c:invertIfNegative val="0"/>
          <c:cat>
            <c:numRef>
              <c:f>'MWS 2019 Field'!$D$74:$D$79</c:f>
              <c:numCache>
                <c:formatCode>[$-409]d\-mmm;@</c:formatCode>
                <c:ptCount val="6"/>
                <c:pt idx="0">
                  <c:v>43599</c:v>
                </c:pt>
                <c:pt idx="1">
                  <c:v>43636</c:v>
                </c:pt>
                <c:pt idx="2">
                  <c:v>43655</c:v>
                </c:pt>
                <c:pt idx="3">
                  <c:v>43696</c:v>
                </c:pt>
                <c:pt idx="4">
                  <c:v>43725</c:v>
                </c:pt>
                <c:pt idx="5">
                  <c:v>43753</c:v>
                </c:pt>
              </c:numCache>
            </c:numRef>
          </c:cat>
          <c:val>
            <c:numRef>
              <c:f>'MWS 2019 Field'!$M$74:$M$79</c:f>
              <c:numCache>
                <c:formatCode>0</c:formatCode>
                <c:ptCount val="6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7-4A05-BCB1-422AC2BC1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316747856"/>
        <c:axId val="316741624"/>
      </c:barChart>
      <c:lineChart>
        <c:grouping val="standard"/>
        <c:varyColors val="0"/>
        <c:ser>
          <c:idx val="1"/>
          <c:order val="1"/>
          <c:tx>
            <c:strRef>
              <c:f>'MWS 2019 Field'!$C$80:$C$85</c:f>
              <c:strCache>
                <c:ptCount val="6"/>
                <c:pt idx="0">
                  <c:v>Troublesome Mouth</c:v>
                </c:pt>
              </c:strCache>
            </c:strRef>
          </c:tx>
          <c:marker>
            <c:symbol val="none"/>
          </c:marker>
          <c:val>
            <c:numRef>
              <c:f>'MWS 2019 Field'!$M$80:$M$85</c:f>
              <c:numCache>
                <c:formatCode>0</c:formatCode>
                <c:ptCount val="6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67-4A05-BCB1-422AC2BC1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369728"/>
        <c:axId val="119371264"/>
      </c:lineChart>
      <c:catAx>
        <c:axId val="119369728"/>
        <c:scaling>
          <c:orientation val="minMax"/>
        </c:scaling>
        <c:delete val="0"/>
        <c:axPos val="t"/>
        <c:numFmt formatCode="m/d/yyyy" sourceLinked="1"/>
        <c:majorTickMark val="none"/>
        <c:minorTickMark val="none"/>
        <c:tickLblPos val="nextTo"/>
        <c:crossAx val="119371264"/>
        <c:crosses val="autoZero"/>
        <c:auto val="1"/>
        <c:lblAlgn val="ctr"/>
        <c:lblOffset val="100"/>
        <c:noMultiLvlLbl val="0"/>
      </c:catAx>
      <c:valAx>
        <c:axId val="119371264"/>
        <c:scaling>
          <c:orientation val="maxMin"/>
        </c:scaling>
        <c:delete val="0"/>
        <c:axPos val="l"/>
        <c:majorGridlines/>
        <c:numFmt formatCode="0" sourceLinked="1"/>
        <c:majorTickMark val="none"/>
        <c:minorTickMark val="none"/>
        <c:tickLblPos val="nextTo"/>
        <c:spPr>
          <a:ln w="9525">
            <a:noFill/>
          </a:ln>
        </c:spPr>
        <c:crossAx val="119369728"/>
        <c:crosses val="autoZero"/>
        <c:crossBetween val="between"/>
      </c:valAx>
      <c:valAx>
        <c:axId val="316741624"/>
        <c:scaling>
          <c:orientation val="maxMin"/>
        </c:scaling>
        <c:delete val="0"/>
        <c:axPos val="r"/>
        <c:numFmt formatCode="0" sourceLinked="1"/>
        <c:majorTickMark val="out"/>
        <c:minorTickMark val="none"/>
        <c:tickLblPos val="nextTo"/>
        <c:crossAx val="316747856"/>
        <c:crosses val="max"/>
        <c:crossBetween val="between"/>
      </c:valAx>
      <c:dateAx>
        <c:axId val="316747856"/>
        <c:scaling>
          <c:orientation val="minMax"/>
        </c:scaling>
        <c:delete val="1"/>
        <c:axPos val="t"/>
        <c:numFmt formatCode="[$-409]d\-mmm;@" sourceLinked="1"/>
        <c:majorTickMark val="out"/>
        <c:minorTickMark val="none"/>
        <c:tickLblPos val="nextTo"/>
        <c:crossAx val="316741624"/>
        <c:crosses val="autoZero"/>
        <c:auto val="1"/>
        <c:lblOffset val="100"/>
        <c:baseTimeUnit val="days"/>
      </c:dateAx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Segment 1a Temperature °C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1664260717410319E-2"/>
          <c:y val="0.19486111111111112"/>
          <c:w val="0.85102952755905503"/>
          <c:h val="0.720887649460484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'MWS 2019 Field'!$B$2:$B$7</c:f>
              <c:strCache>
                <c:ptCount val="6"/>
                <c:pt idx="0">
                  <c:v>Site 58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1">
                    <a:alpha val="50000"/>
                  </a:schemeClr>
                </a:solidFill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0252034120734908"/>
                  <c:y val="-0.10585885097696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'MWS 2019 Field'!$G$2:$G$7</c:f>
              <c:numCache>
                <c:formatCode>0.0</c:formatCode>
                <c:ptCount val="6"/>
                <c:pt idx="0">
                  <c:v>3.5</c:v>
                </c:pt>
                <c:pt idx="1">
                  <c:v>6.3</c:v>
                </c:pt>
                <c:pt idx="2">
                  <c:v>6.8</c:v>
                </c:pt>
                <c:pt idx="3">
                  <c:v>12.3</c:v>
                </c:pt>
                <c:pt idx="4">
                  <c:v>7.7</c:v>
                </c:pt>
                <c:pt idx="5">
                  <c:v>0.1</c:v>
                </c:pt>
              </c:numCache>
            </c:numRef>
          </c:xVal>
          <c:yVal>
            <c:numRef>
              <c:f>'MWS 2019 Field'!$H$2:$H$7</c:f>
              <c:numCache>
                <c:formatCode>0.0</c:formatCode>
                <c:ptCount val="6"/>
                <c:pt idx="0">
                  <c:v>26.2</c:v>
                </c:pt>
                <c:pt idx="1">
                  <c:v>23.9</c:v>
                </c:pt>
                <c:pt idx="2">
                  <c:v>22.7</c:v>
                </c:pt>
                <c:pt idx="3">
                  <c:v>30</c:v>
                </c:pt>
                <c:pt idx="4">
                  <c:v>19.600000000000001</c:v>
                </c:pt>
                <c:pt idx="5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39-40BF-8D5C-EACCDCEDA690}"/>
            </c:ext>
          </c:extLst>
        </c:ser>
        <c:ser>
          <c:idx val="1"/>
          <c:order val="1"/>
          <c:tx>
            <c:strRef>
              <c:f>'MWS 2019 Field'!$B$8:$B$13</c:f>
              <c:strCache>
                <c:ptCount val="6"/>
                <c:pt idx="0">
                  <c:v>Site 2a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'MWS 2019 Field'!$G$8:$G$13</c:f>
              <c:numCache>
                <c:formatCode>0.0</c:formatCode>
                <c:ptCount val="6"/>
                <c:pt idx="0">
                  <c:v>6.8</c:v>
                </c:pt>
                <c:pt idx="1">
                  <c:v>8.6999999999999993</c:v>
                </c:pt>
                <c:pt idx="2">
                  <c:v>9.4</c:v>
                </c:pt>
                <c:pt idx="3">
                  <c:v>14.4</c:v>
                </c:pt>
                <c:pt idx="4">
                  <c:v>10.199999999999999</c:v>
                </c:pt>
                <c:pt idx="5">
                  <c:v>2</c:v>
                </c:pt>
              </c:numCache>
            </c:numRef>
          </c:xVal>
          <c:yVal>
            <c:numRef>
              <c:f>'MWS 2019 Field'!$H$8:$H$13</c:f>
              <c:numCache>
                <c:formatCode>0.0</c:formatCode>
                <c:ptCount val="6"/>
                <c:pt idx="0">
                  <c:v>28.8</c:v>
                </c:pt>
                <c:pt idx="1">
                  <c:v>22.3</c:v>
                </c:pt>
                <c:pt idx="2">
                  <c:v>23.1</c:v>
                </c:pt>
                <c:pt idx="3">
                  <c:v>29.6</c:v>
                </c:pt>
                <c:pt idx="4">
                  <c:v>20.7</c:v>
                </c:pt>
                <c:pt idx="5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239-40BF-8D5C-EACCDCEDA690}"/>
            </c:ext>
          </c:extLst>
        </c:ser>
        <c:ser>
          <c:idx val="2"/>
          <c:order val="2"/>
          <c:tx>
            <c:strRef>
              <c:f>'MWS 2019 Field'!$B$14:$B$19</c:f>
              <c:strCache>
                <c:ptCount val="6"/>
                <c:pt idx="0">
                  <c:v>Site 3a</c:v>
                </c:pt>
              </c:strCache>
            </c:strRef>
          </c:tx>
          <c:spPr>
            <a:ln w="25400" cap="rnd">
              <a:noFill/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satMod val="175000"/>
                    <a:alpha val="25000"/>
                  </a:schemeClr>
                </a:glow>
              </a:effectLst>
            </c:spPr>
          </c:marker>
          <c:trendline>
            <c:spPr>
              <a:ln w="25400" cap="rnd">
                <a:solidFill>
                  <a:schemeClr val="accent3">
                    <a:alpha val="50000"/>
                  </a:schemeClr>
                </a:solidFill>
              </a:ln>
              <a:effectLst/>
            </c:spPr>
            <c:trendlineType val="linear"/>
            <c:dispRSqr val="0"/>
            <c:dispEq val="0"/>
          </c:trendline>
          <c:xVal>
            <c:numRef>
              <c:f>'MWS 2019 Field'!$G$14:$G$19</c:f>
              <c:numCache>
                <c:formatCode>0.0</c:formatCode>
                <c:ptCount val="6"/>
                <c:pt idx="0">
                  <c:v>8.1</c:v>
                </c:pt>
                <c:pt idx="1">
                  <c:v>9.3000000000000007</c:v>
                </c:pt>
                <c:pt idx="2">
                  <c:v>10.1</c:v>
                </c:pt>
                <c:pt idx="3">
                  <c:v>15.9</c:v>
                </c:pt>
                <c:pt idx="4">
                  <c:v>11</c:v>
                </c:pt>
                <c:pt idx="5">
                  <c:v>2.7</c:v>
                </c:pt>
              </c:numCache>
            </c:numRef>
          </c:xVal>
          <c:yVal>
            <c:numRef>
              <c:f>'MWS 2019 Field'!$H$14:$H$19</c:f>
              <c:numCache>
                <c:formatCode>0.0</c:formatCode>
                <c:ptCount val="6"/>
                <c:pt idx="0">
                  <c:v>27.1</c:v>
                </c:pt>
                <c:pt idx="1">
                  <c:v>23.5</c:v>
                </c:pt>
                <c:pt idx="2">
                  <c:v>24.7</c:v>
                </c:pt>
                <c:pt idx="3">
                  <c:v>35.5</c:v>
                </c:pt>
                <c:pt idx="4">
                  <c:v>21.2</c:v>
                </c:pt>
                <c:pt idx="5">
                  <c:v>13.5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39-40BF-8D5C-EACCDCEDA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8271616"/>
        <c:axId val="548271944"/>
      </c:scatterChart>
      <c:valAx>
        <c:axId val="548271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271944"/>
        <c:crosses val="autoZero"/>
        <c:crossBetween val="midCat"/>
      </c:valAx>
      <c:valAx>
        <c:axId val="54827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2716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984645669291339"/>
          <c:y val="0.68654965004374446"/>
          <c:w val="0.73570909886264202"/>
          <c:h val="0.12731700204141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Nitrogen Segment Loading</a:t>
            </a:r>
          </a:p>
        </c:rich>
      </c:tx>
      <c:layout>
        <c:manualLayout>
          <c:xMode val="edge"/>
          <c:yMode val="edge"/>
          <c:x val="0.42913921588796117"/>
          <c:y val="7.07285308427107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15141961460638"/>
          <c:y val="9.4549371319931422E-2"/>
          <c:w val="0.82580604860900941"/>
          <c:h val="0.50109923250642274"/>
        </c:manualLayout>
      </c:layout>
      <c:lineChart>
        <c:grouping val="standard"/>
        <c:varyColors val="0"/>
        <c:ser>
          <c:idx val="3"/>
          <c:order val="0"/>
          <c:tx>
            <c:strRef>
              <c:f>'MWS 2019 chemistry'!$E$1:$F$1</c:f>
              <c:strCache>
                <c:ptCount val="1"/>
                <c:pt idx="0">
                  <c:v>5/14/2019</c:v>
                </c:pt>
              </c:strCache>
            </c:strRef>
          </c:tx>
          <c:spPr>
            <a:ln w="22225" cap="rnd">
              <a:solidFill>
                <a:schemeClr val="accent4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'MWS 2019 chemistry'!$E$5:$E$22</c:f>
              <c:numCache>
                <c:formatCode>General</c:formatCode>
                <c:ptCount val="18"/>
                <c:pt idx="0">
                  <c:v>244</c:v>
                </c:pt>
                <c:pt idx="1">
                  <c:v>215</c:v>
                </c:pt>
                <c:pt idx="2">
                  <c:v>253</c:v>
                </c:pt>
                <c:pt idx="3">
                  <c:v>149</c:v>
                </c:pt>
                <c:pt idx="4" formatCode="#,##0">
                  <c:v>246</c:v>
                </c:pt>
                <c:pt idx="5">
                  <c:v>293</c:v>
                </c:pt>
                <c:pt idx="6">
                  <c:v>442</c:v>
                </c:pt>
                <c:pt idx="7">
                  <c:v>418</c:v>
                </c:pt>
                <c:pt idx="8">
                  <c:v>401</c:v>
                </c:pt>
                <c:pt idx="9">
                  <c:v>518</c:v>
                </c:pt>
                <c:pt idx="10">
                  <c:v>867</c:v>
                </c:pt>
                <c:pt idx="11">
                  <c:v>691</c:v>
                </c:pt>
                <c:pt idx="12">
                  <c:v>838</c:v>
                </c:pt>
                <c:pt idx="13">
                  <c:v>1420</c:v>
                </c:pt>
                <c:pt idx="14">
                  <c:v>969</c:v>
                </c:pt>
                <c:pt idx="15">
                  <c:v>674</c:v>
                </c:pt>
                <c:pt idx="16">
                  <c:v>558</c:v>
                </c:pt>
                <c:pt idx="17">
                  <c:v>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5-4BDB-98B1-9FBDFCACC840}"/>
            </c:ext>
          </c:extLst>
        </c:ser>
        <c:ser>
          <c:idx val="7"/>
          <c:order val="1"/>
          <c:tx>
            <c:strRef>
              <c:f>'MWS 2019 chemistry'!$G$1:$H$1</c:f>
              <c:strCache>
                <c:ptCount val="1"/>
                <c:pt idx="0">
                  <c:v>6/20/2019</c:v>
                </c:pt>
              </c:strCache>
            </c:strRef>
          </c:tx>
          <c:spPr>
            <a:ln w="22225" cap="rnd">
              <a:solidFill>
                <a:schemeClr val="accent2">
                  <a:lumMod val="60000"/>
                </a:schemeClr>
              </a:solidFill>
            </a:ln>
            <a:effectLst>
              <a:glow rad="139700">
                <a:schemeClr val="accent2">
                  <a:lumMod val="6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'MWS 2019 chemistry'!$G$5:$G$22</c:f>
              <c:numCache>
                <c:formatCode>General</c:formatCode>
                <c:ptCount val="18"/>
                <c:pt idx="0">
                  <c:v>281</c:v>
                </c:pt>
                <c:pt idx="1">
                  <c:v>258</c:v>
                </c:pt>
                <c:pt idx="2">
                  <c:v>261</c:v>
                </c:pt>
                <c:pt idx="3">
                  <c:v>146</c:v>
                </c:pt>
                <c:pt idx="4" formatCode="#,##0">
                  <c:v>319</c:v>
                </c:pt>
                <c:pt idx="5">
                  <c:v>298</c:v>
                </c:pt>
                <c:pt idx="6">
                  <c:v>333</c:v>
                </c:pt>
                <c:pt idx="7">
                  <c:v>326</c:v>
                </c:pt>
                <c:pt idx="8">
                  <c:v>404</c:v>
                </c:pt>
                <c:pt idx="9">
                  <c:v>367</c:v>
                </c:pt>
                <c:pt idx="10">
                  <c:v>402</c:v>
                </c:pt>
                <c:pt idx="11">
                  <c:v>561</c:v>
                </c:pt>
                <c:pt idx="12">
                  <c:v>634</c:v>
                </c:pt>
                <c:pt idx="13">
                  <c:v>1246</c:v>
                </c:pt>
                <c:pt idx="14">
                  <c:v>803</c:v>
                </c:pt>
                <c:pt idx="15">
                  <c:v>446</c:v>
                </c:pt>
                <c:pt idx="16">
                  <c:v>322</c:v>
                </c:pt>
                <c:pt idx="17">
                  <c:v>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5-40AC-BD41-F577C6F6751A}"/>
            </c:ext>
          </c:extLst>
        </c:ser>
        <c:ser>
          <c:idx val="8"/>
          <c:order val="2"/>
          <c:tx>
            <c:strRef>
              <c:f>'MWS 2019 chemistry'!$I$1:$J$1</c:f>
              <c:strCache>
                <c:ptCount val="1"/>
                <c:pt idx="0">
                  <c:v>7/9/2019</c:v>
                </c:pt>
              </c:strCache>
            </c:strRef>
          </c:tx>
          <c:spPr>
            <a:ln w="22225" cap="rnd">
              <a:solidFill>
                <a:schemeClr val="accent3">
                  <a:lumMod val="60000"/>
                </a:schemeClr>
              </a:solidFill>
            </a:ln>
            <a:effectLst>
              <a:glow rad="139700">
                <a:schemeClr val="accent3">
                  <a:lumMod val="6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'MWS 2019 chemistry'!$I$5:$I$22</c:f>
              <c:numCache>
                <c:formatCode>General</c:formatCode>
                <c:ptCount val="18"/>
                <c:pt idx="0">
                  <c:v>208</c:v>
                </c:pt>
                <c:pt idx="1">
                  <c:v>181</c:v>
                </c:pt>
                <c:pt idx="2">
                  <c:v>194</c:v>
                </c:pt>
                <c:pt idx="3">
                  <c:v>116</c:v>
                </c:pt>
                <c:pt idx="4" formatCode="#,##0">
                  <c:v>271</c:v>
                </c:pt>
                <c:pt idx="5">
                  <c:v>226</c:v>
                </c:pt>
                <c:pt idx="6">
                  <c:v>272</c:v>
                </c:pt>
                <c:pt idx="7">
                  <c:v>288</c:v>
                </c:pt>
                <c:pt idx="8">
                  <c:v>352</c:v>
                </c:pt>
                <c:pt idx="9">
                  <c:v>307</c:v>
                </c:pt>
                <c:pt idx="10">
                  <c:v>276</c:v>
                </c:pt>
                <c:pt idx="11">
                  <c:v>424</c:v>
                </c:pt>
                <c:pt idx="12">
                  <c:v>478</c:v>
                </c:pt>
                <c:pt idx="13">
                  <c:v>911</c:v>
                </c:pt>
                <c:pt idx="15">
                  <c:v>334</c:v>
                </c:pt>
                <c:pt idx="16">
                  <c:v>276</c:v>
                </c:pt>
                <c:pt idx="17">
                  <c:v>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5-40AC-BD41-F577C6F6751A}"/>
            </c:ext>
          </c:extLst>
        </c:ser>
        <c:ser>
          <c:idx val="0"/>
          <c:order val="3"/>
          <c:tx>
            <c:strRef>
              <c:f>'MWS 2019 chemistry'!$K$1:$L$1</c:f>
              <c:strCache>
                <c:ptCount val="1"/>
                <c:pt idx="0">
                  <c:v>8/19/2019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'MWS 2019 chemistry'!$C$5:$C$22</c:f>
              <c:strCache>
                <c:ptCount val="18"/>
                <c:pt idx="0">
                  <c:v>Site 58</c:v>
                </c:pt>
                <c:pt idx="1">
                  <c:v>Site 2a</c:v>
                </c:pt>
                <c:pt idx="2">
                  <c:v>Site 3a</c:v>
                </c:pt>
                <c:pt idx="3">
                  <c:v>Site 25</c:v>
                </c:pt>
                <c:pt idx="4">
                  <c:v>Site 4a</c:v>
                </c:pt>
                <c:pt idx="5">
                  <c:v>Site 5</c:v>
                </c:pt>
                <c:pt idx="6">
                  <c:v>Site 8a</c:v>
                </c:pt>
                <c:pt idx="7">
                  <c:v>Site 9</c:v>
                </c:pt>
                <c:pt idx="8">
                  <c:v>Site 12</c:v>
                </c:pt>
                <c:pt idx="9">
                  <c:v>Site 13a</c:v>
                </c:pt>
                <c:pt idx="10">
                  <c:v>Site 14a</c:v>
                </c:pt>
                <c:pt idx="11">
                  <c:v>Site 26</c:v>
                </c:pt>
                <c:pt idx="12">
                  <c:v>Site 64</c:v>
                </c:pt>
                <c:pt idx="13">
                  <c:v>Site 32</c:v>
                </c:pt>
                <c:pt idx="14">
                  <c:v>Site 34b</c:v>
                </c:pt>
                <c:pt idx="15">
                  <c:v>Site 15a</c:v>
                </c:pt>
                <c:pt idx="16">
                  <c:v>Site 19</c:v>
                </c:pt>
                <c:pt idx="17">
                  <c:v>Site 18</c:v>
                </c:pt>
              </c:strCache>
            </c:strRef>
          </c:cat>
          <c:val>
            <c:numRef>
              <c:f>'MWS 2019 chemistry'!$K$5:$K$22</c:f>
              <c:numCache>
                <c:formatCode>General</c:formatCode>
                <c:ptCount val="18"/>
                <c:pt idx="0">
                  <c:v>206</c:v>
                </c:pt>
                <c:pt idx="1">
                  <c:v>169</c:v>
                </c:pt>
                <c:pt idx="2">
                  <c:v>170</c:v>
                </c:pt>
                <c:pt idx="3">
                  <c:v>85</c:v>
                </c:pt>
                <c:pt idx="4" formatCode="#,##0">
                  <c:v>239</c:v>
                </c:pt>
                <c:pt idx="5">
                  <c:v>202</c:v>
                </c:pt>
                <c:pt idx="6">
                  <c:v>479</c:v>
                </c:pt>
                <c:pt idx="7">
                  <c:v>346</c:v>
                </c:pt>
                <c:pt idx="8">
                  <c:v>382</c:v>
                </c:pt>
                <c:pt idx="9">
                  <c:v>381</c:v>
                </c:pt>
                <c:pt idx="10">
                  <c:v>278</c:v>
                </c:pt>
                <c:pt idx="11">
                  <c:v>324</c:v>
                </c:pt>
                <c:pt idx="12">
                  <c:v>229</c:v>
                </c:pt>
                <c:pt idx="13">
                  <c:v>495</c:v>
                </c:pt>
                <c:pt idx="15">
                  <c:v>451</c:v>
                </c:pt>
                <c:pt idx="16">
                  <c:v>342</c:v>
                </c:pt>
                <c:pt idx="17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5-40AC-BD41-F577C6F6751A}"/>
            </c:ext>
          </c:extLst>
        </c:ser>
        <c:ser>
          <c:idx val="1"/>
          <c:order val="4"/>
          <c:tx>
            <c:strRef>
              <c:f>'MWS 2019 chemistry'!$M$1:$N$1</c:f>
              <c:strCache>
                <c:ptCount val="1"/>
                <c:pt idx="0">
                  <c:v>9/17/2019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'MWS 2019 chemistry'!$M$5:$M$22</c:f>
              <c:numCache>
                <c:formatCode>General</c:formatCode>
                <c:ptCount val="18"/>
                <c:pt idx="0">
                  <c:v>197</c:v>
                </c:pt>
                <c:pt idx="1">
                  <c:v>156</c:v>
                </c:pt>
                <c:pt idx="2">
                  <c:v>165</c:v>
                </c:pt>
                <c:pt idx="3">
                  <c:v>94</c:v>
                </c:pt>
                <c:pt idx="4" formatCode="#,##0">
                  <c:v>244</c:v>
                </c:pt>
                <c:pt idx="5">
                  <c:v>189</c:v>
                </c:pt>
                <c:pt idx="6">
                  <c:v>437</c:v>
                </c:pt>
                <c:pt idx="7">
                  <c:v>346</c:v>
                </c:pt>
                <c:pt idx="8">
                  <c:v>644</c:v>
                </c:pt>
                <c:pt idx="9">
                  <c:v>622</c:v>
                </c:pt>
                <c:pt idx="10">
                  <c:v>589</c:v>
                </c:pt>
                <c:pt idx="11">
                  <c:v>161</c:v>
                </c:pt>
                <c:pt idx="12">
                  <c:v>337</c:v>
                </c:pt>
                <c:pt idx="13">
                  <c:v>605</c:v>
                </c:pt>
                <c:pt idx="15">
                  <c:v>750</c:v>
                </c:pt>
                <c:pt idx="16">
                  <c:v>376</c:v>
                </c:pt>
                <c:pt idx="17">
                  <c:v>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05-40AC-BD41-F577C6F6751A}"/>
            </c:ext>
          </c:extLst>
        </c:ser>
        <c:ser>
          <c:idx val="2"/>
          <c:order val="5"/>
          <c:tx>
            <c:strRef>
              <c:f>'MWS 2019 chemistry'!$O$1:$P$1</c:f>
              <c:strCache>
                <c:ptCount val="1"/>
                <c:pt idx="0">
                  <c:v>10/15/2019</c:v>
                </c:pt>
              </c:strCache>
            </c:strRef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'MWS 2019 chemistry'!$O$5:$O$22</c:f>
              <c:numCache>
                <c:formatCode>General</c:formatCode>
                <c:ptCount val="18"/>
                <c:pt idx="0">
                  <c:v>230</c:v>
                </c:pt>
                <c:pt idx="1">
                  <c:v>152</c:v>
                </c:pt>
                <c:pt idx="2">
                  <c:v>192</c:v>
                </c:pt>
                <c:pt idx="3">
                  <c:v>61</c:v>
                </c:pt>
                <c:pt idx="4" formatCode="#,##0">
                  <c:v>204</c:v>
                </c:pt>
                <c:pt idx="5">
                  <c:v>173</c:v>
                </c:pt>
                <c:pt idx="6">
                  <c:v>432</c:v>
                </c:pt>
                <c:pt idx="7">
                  <c:v>312</c:v>
                </c:pt>
                <c:pt idx="8">
                  <c:v>351</c:v>
                </c:pt>
                <c:pt idx="9">
                  <c:v>388</c:v>
                </c:pt>
                <c:pt idx="10">
                  <c:v>459</c:v>
                </c:pt>
                <c:pt idx="11">
                  <c:v>87</c:v>
                </c:pt>
                <c:pt idx="12">
                  <c:v>637</c:v>
                </c:pt>
                <c:pt idx="13">
                  <c:v>706</c:v>
                </c:pt>
                <c:pt idx="15">
                  <c:v>613</c:v>
                </c:pt>
                <c:pt idx="16">
                  <c:v>191</c:v>
                </c:pt>
                <c:pt idx="17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05-40AC-BD41-F577C6F67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152960"/>
        <c:axId val="116162944"/>
      </c:lineChart>
      <c:catAx>
        <c:axId val="116152960"/>
        <c:scaling>
          <c:orientation val="minMax"/>
        </c:scaling>
        <c:delete val="0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162944"/>
        <c:crosses val="autoZero"/>
        <c:auto val="1"/>
        <c:lblAlgn val="ctr"/>
        <c:lblOffset val="100"/>
        <c:noMultiLvlLbl val="0"/>
      </c:catAx>
      <c:valAx>
        <c:axId val="116162944"/>
        <c:scaling>
          <c:orientation val="maxMin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Nitrogen ug/l</a:t>
                </a:r>
              </a:p>
            </c:rich>
          </c:tx>
          <c:layout>
            <c:manualLayout>
              <c:xMode val="edge"/>
              <c:yMode val="edge"/>
              <c:x val="6.1487455279669492E-2"/>
              <c:y val="0.156234434099467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1529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Phosphorus Segment Loading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210801446743894"/>
          <c:y val="8.9441924610057288E-2"/>
          <c:w val="0.81856831670787755"/>
          <c:h val="0.50071223807913501"/>
        </c:manualLayout>
      </c:layout>
      <c:lineChart>
        <c:grouping val="standard"/>
        <c:varyColors val="0"/>
        <c:ser>
          <c:idx val="3"/>
          <c:order val="0"/>
          <c:tx>
            <c:strRef>
              <c:f>'MWS 2019 chemistry'!$E$1:$F$1</c:f>
              <c:strCache>
                <c:ptCount val="1"/>
                <c:pt idx="0">
                  <c:v>5/14/2019</c:v>
                </c:pt>
              </c:strCache>
            </c:strRef>
          </c:tx>
          <c:spPr>
            <a:ln w="22225" cap="rnd">
              <a:solidFill>
                <a:schemeClr val="accent4"/>
              </a:solidFill>
            </a:ln>
            <a:effectLst>
              <a:glow rad="139700">
                <a:schemeClr val="accent4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'MWS 2019 chemistry'!$F$5:$F$22</c:f>
              <c:numCache>
                <c:formatCode>General</c:formatCode>
                <c:ptCount val="18"/>
                <c:pt idx="0">
                  <c:v>23</c:v>
                </c:pt>
                <c:pt idx="1">
                  <c:v>21</c:v>
                </c:pt>
                <c:pt idx="2">
                  <c:v>37</c:v>
                </c:pt>
                <c:pt idx="3">
                  <c:v>14</c:v>
                </c:pt>
                <c:pt idx="4" formatCode="#,##0">
                  <c:v>12</c:v>
                </c:pt>
                <c:pt idx="5">
                  <c:v>18</c:v>
                </c:pt>
                <c:pt idx="6">
                  <c:v>43</c:v>
                </c:pt>
                <c:pt idx="7">
                  <c:v>41</c:v>
                </c:pt>
                <c:pt idx="8">
                  <c:v>39</c:v>
                </c:pt>
                <c:pt idx="9">
                  <c:v>56</c:v>
                </c:pt>
                <c:pt idx="10">
                  <c:v>152</c:v>
                </c:pt>
                <c:pt idx="11">
                  <c:v>30</c:v>
                </c:pt>
                <c:pt idx="12">
                  <c:v>65</c:v>
                </c:pt>
                <c:pt idx="13">
                  <c:v>107</c:v>
                </c:pt>
                <c:pt idx="14">
                  <c:v>13</c:v>
                </c:pt>
                <c:pt idx="15">
                  <c:v>25</c:v>
                </c:pt>
                <c:pt idx="16">
                  <c:v>12</c:v>
                </c:pt>
                <c:pt idx="17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1-47E0-982D-A647E6AAF30A}"/>
            </c:ext>
          </c:extLst>
        </c:ser>
        <c:ser>
          <c:idx val="7"/>
          <c:order val="1"/>
          <c:tx>
            <c:strRef>
              <c:f>'MWS 2019 chemistry'!$G$1:$H$1</c:f>
              <c:strCache>
                <c:ptCount val="1"/>
                <c:pt idx="0">
                  <c:v>6/20/2019</c:v>
                </c:pt>
              </c:strCache>
            </c:strRef>
          </c:tx>
          <c:spPr>
            <a:ln w="22225" cap="rnd">
              <a:solidFill>
                <a:schemeClr val="accent2">
                  <a:lumMod val="60000"/>
                </a:schemeClr>
              </a:solidFill>
            </a:ln>
            <a:effectLst>
              <a:glow rad="139700">
                <a:schemeClr val="accent2">
                  <a:lumMod val="6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'MWS 2019 chemistry'!$H$5:$H$22</c:f>
              <c:numCache>
                <c:formatCode>General</c:formatCode>
                <c:ptCount val="18"/>
                <c:pt idx="0">
                  <c:v>7</c:v>
                </c:pt>
                <c:pt idx="1">
                  <c:v>19</c:v>
                </c:pt>
                <c:pt idx="2">
                  <c:v>19</c:v>
                </c:pt>
                <c:pt idx="3">
                  <c:v>7</c:v>
                </c:pt>
                <c:pt idx="4" formatCode="#,##0">
                  <c:v>16</c:v>
                </c:pt>
                <c:pt idx="5">
                  <c:v>25</c:v>
                </c:pt>
                <c:pt idx="6">
                  <c:v>38</c:v>
                </c:pt>
                <c:pt idx="7">
                  <c:v>24</c:v>
                </c:pt>
                <c:pt idx="8">
                  <c:v>38</c:v>
                </c:pt>
                <c:pt idx="9">
                  <c:v>46</c:v>
                </c:pt>
                <c:pt idx="10">
                  <c:v>37</c:v>
                </c:pt>
                <c:pt idx="11">
                  <c:v>70</c:v>
                </c:pt>
                <c:pt idx="12">
                  <c:v>61</c:v>
                </c:pt>
                <c:pt idx="13">
                  <c:v>153</c:v>
                </c:pt>
                <c:pt idx="14">
                  <c:v>11</c:v>
                </c:pt>
                <c:pt idx="15">
                  <c:v>50</c:v>
                </c:pt>
                <c:pt idx="16">
                  <c:v>14</c:v>
                </c:pt>
                <c:pt idx="1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4-45DE-8002-9E36619010B8}"/>
            </c:ext>
          </c:extLst>
        </c:ser>
        <c:ser>
          <c:idx val="8"/>
          <c:order val="2"/>
          <c:tx>
            <c:strRef>
              <c:f>'MWS 2019 chemistry'!$I$1:$J$1</c:f>
              <c:strCache>
                <c:ptCount val="1"/>
                <c:pt idx="0">
                  <c:v>7/9/2019</c:v>
                </c:pt>
              </c:strCache>
            </c:strRef>
          </c:tx>
          <c:spPr>
            <a:ln w="22225" cap="rnd">
              <a:solidFill>
                <a:schemeClr val="accent3">
                  <a:lumMod val="60000"/>
                </a:schemeClr>
              </a:solidFill>
            </a:ln>
            <a:effectLst>
              <a:glow rad="139700">
                <a:schemeClr val="accent3">
                  <a:lumMod val="60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'MWS 2019 chemistry'!$J$5:$J$22</c:f>
              <c:numCache>
                <c:formatCode>General</c:formatCode>
                <c:ptCount val="18"/>
                <c:pt idx="0">
                  <c:v>7</c:v>
                </c:pt>
                <c:pt idx="1">
                  <c:v>10</c:v>
                </c:pt>
                <c:pt idx="2">
                  <c:v>14</c:v>
                </c:pt>
                <c:pt idx="3">
                  <c:v>8</c:v>
                </c:pt>
                <c:pt idx="4" formatCode="#,##0">
                  <c:v>12</c:v>
                </c:pt>
                <c:pt idx="5">
                  <c:v>13</c:v>
                </c:pt>
                <c:pt idx="6">
                  <c:v>18</c:v>
                </c:pt>
                <c:pt idx="7">
                  <c:v>34</c:v>
                </c:pt>
                <c:pt idx="8">
                  <c:v>55</c:v>
                </c:pt>
                <c:pt idx="9">
                  <c:v>26</c:v>
                </c:pt>
                <c:pt idx="10">
                  <c:v>24</c:v>
                </c:pt>
                <c:pt idx="11">
                  <c:v>29</c:v>
                </c:pt>
                <c:pt idx="12">
                  <c:v>37</c:v>
                </c:pt>
                <c:pt idx="13">
                  <c:v>147</c:v>
                </c:pt>
                <c:pt idx="15">
                  <c:v>35</c:v>
                </c:pt>
                <c:pt idx="16">
                  <c:v>13</c:v>
                </c:pt>
                <c:pt idx="17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4-45DE-8002-9E36619010B8}"/>
            </c:ext>
          </c:extLst>
        </c:ser>
        <c:ser>
          <c:idx val="0"/>
          <c:order val="3"/>
          <c:tx>
            <c:strRef>
              <c:f>'MWS 2019 chemistry'!$K$1:$L$1</c:f>
              <c:strCache>
                <c:ptCount val="1"/>
                <c:pt idx="0">
                  <c:v>8/19/2019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'MWS 2019 chemistry'!$C$5:$C$22</c:f>
              <c:strCache>
                <c:ptCount val="18"/>
                <c:pt idx="0">
                  <c:v>Site 58</c:v>
                </c:pt>
                <c:pt idx="1">
                  <c:v>Site 2a</c:v>
                </c:pt>
                <c:pt idx="2">
                  <c:v>Site 3a</c:v>
                </c:pt>
                <c:pt idx="3">
                  <c:v>Site 25</c:v>
                </c:pt>
                <c:pt idx="4">
                  <c:v>Site 4a</c:v>
                </c:pt>
                <c:pt idx="5">
                  <c:v>Site 5</c:v>
                </c:pt>
                <c:pt idx="6">
                  <c:v>Site 8a</c:v>
                </c:pt>
                <c:pt idx="7">
                  <c:v>Site 9</c:v>
                </c:pt>
                <c:pt idx="8">
                  <c:v>Site 12</c:v>
                </c:pt>
                <c:pt idx="9">
                  <c:v>Site 13a</c:v>
                </c:pt>
                <c:pt idx="10">
                  <c:v>Site 14a</c:v>
                </c:pt>
                <c:pt idx="11">
                  <c:v>Site 26</c:v>
                </c:pt>
                <c:pt idx="12">
                  <c:v>Site 64</c:v>
                </c:pt>
                <c:pt idx="13">
                  <c:v>Site 32</c:v>
                </c:pt>
                <c:pt idx="14">
                  <c:v>Site 34b</c:v>
                </c:pt>
                <c:pt idx="15">
                  <c:v>Site 15a</c:v>
                </c:pt>
                <c:pt idx="16">
                  <c:v>Site 19</c:v>
                </c:pt>
                <c:pt idx="17">
                  <c:v>Site 18</c:v>
                </c:pt>
              </c:strCache>
            </c:strRef>
          </c:cat>
          <c:val>
            <c:numRef>
              <c:f>'MWS 2019 chemistry'!$L$5:$L$22</c:f>
              <c:numCache>
                <c:formatCode>General</c:formatCode>
                <c:ptCount val="18"/>
                <c:pt idx="0">
                  <c:v>18</c:v>
                </c:pt>
                <c:pt idx="1">
                  <c:v>6</c:v>
                </c:pt>
                <c:pt idx="2">
                  <c:v>13</c:v>
                </c:pt>
                <c:pt idx="3">
                  <c:v>7</c:v>
                </c:pt>
                <c:pt idx="4" formatCode="#,##0">
                  <c:v>18</c:v>
                </c:pt>
                <c:pt idx="5">
                  <c:v>14</c:v>
                </c:pt>
                <c:pt idx="6">
                  <c:v>55</c:v>
                </c:pt>
                <c:pt idx="7">
                  <c:v>30</c:v>
                </c:pt>
                <c:pt idx="8">
                  <c:v>33</c:v>
                </c:pt>
                <c:pt idx="9">
                  <c:v>34</c:v>
                </c:pt>
                <c:pt idx="10">
                  <c:v>37</c:v>
                </c:pt>
                <c:pt idx="11">
                  <c:v>26</c:v>
                </c:pt>
                <c:pt idx="12">
                  <c:v>29</c:v>
                </c:pt>
                <c:pt idx="13">
                  <c:v>111</c:v>
                </c:pt>
                <c:pt idx="15">
                  <c:v>29</c:v>
                </c:pt>
                <c:pt idx="16">
                  <c:v>111</c:v>
                </c:pt>
                <c:pt idx="17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4-45DE-8002-9E36619010B8}"/>
            </c:ext>
          </c:extLst>
        </c:ser>
        <c:ser>
          <c:idx val="1"/>
          <c:order val="4"/>
          <c:tx>
            <c:strRef>
              <c:f>'MWS 2019 chemistry'!$M$1:$N$1</c:f>
              <c:strCache>
                <c:ptCount val="1"/>
                <c:pt idx="0">
                  <c:v>9/17/2019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'MWS 2019 chemistry'!$N$5:$N$22</c:f>
              <c:numCache>
                <c:formatCode>General</c:formatCode>
                <c:ptCount val="18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13</c:v>
                </c:pt>
                <c:pt idx="4" formatCode="#,##0">
                  <c:v>11</c:v>
                </c:pt>
                <c:pt idx="5">
                  <c:v>16</c:v>
                </c:pt>
                <c:pt idx="6">
                  <c:v>31</c:v>
                </c:pt>
                <c:pt idx="7">
                  <c:v>40</c:v>
                </c:pt>
                <c:pt idx="8">
                  <c:v>35</c:v>
                </c:pt>
                <c:pt idx="9">
                  <c:v>37</c:v>
                </c:pt>
                <c:pt idx="10">
                  <c:v>36</c:v>
                </c:pt>
                <c:pt idx="11">
                  <c:v>23</c:v>
                </c:pt>
                <c:pt idx="12">
                  <c:v>66</c:v>
                </c:pt>
                <c:pt idx="13">
                  <c:v>150</c:v>
                </c:pt>
                <c:pt idx="15">
                  <c:v>121</c:v>
                </c:pt>
                <c:pt idx="16">
                  <c:v>21</c:v>
                </c:pt>
                <c:pt idx="17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54-45DE-8002-9E36619010B8}"/>
            </c:ext>
          </c:extLst>
        </c:ser>
        <c:ser>
          <c:idx val="2"/>
          <c:order val="5"/>
          <c:tx>
            <c:strRef>
              <c:f>'MWS 2019 chemistry'!$O$1:$P$1</c:f>
              <c:strCache>
                <c:ptCount val="1"/>
                <c:pt idx="0">
                  <c:v>10/15/2019</c:v>
                </c:pt>
              </c:strCache>
            </c:strRef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'MWS 2019 chemistry'!$P$5:$P$22</c:f>
              <c:numCache>
                <c:formatCode>General</c:formatCode>
                <c:ptCount val="18"/>
                <c:pt idx="0">
                  <c:v>22</c:v>
                </c:pt>
                <c:pt idx="1">
                  <c:v>41</c:v>
                </c:pt>
                <c:pt idx="2">
                  <c:v>6</c:v>
                </c:pt>
                <c:pt idx="3">
                  <c:v>6</c:v>
                </c:pt>
                <c:pt idx="4" formatCode="#,##0">
                  <c:v>21</c:v>
                </c:pt>
                <c:pt idx="5">
                  <c:v>15</c:v>
                </c:pt>
                <c:pt idx="6">
                  <c:v>20</c:v>
                </c:pt>
                <c:pt idx="7">
                  <c:v>44</c:v>
                </c:pt>
                <c:pt idx="8">
                  <c:v>31</c:v>
                </c:pt>
                <c:pt idx="9">
                  <c:v>22</c:v>
                </c:pt>
                <c:pt idx="10">
                  <c:v>45</c:v>
                </c:pt>
                <c:pt idx="11">
                  <c:v>18</c:v>
                </c:pt>
                <c:pt idx="12">
                  <c:v>29</c:v>
                </c:pt>
                <c:pt idx="13">
                  <c:v>109</c:v>
                </c:pt>
                <c:pt idx="15">
                  <c:v>23</c:v>
                </c:pt>
                <c:pt idx="16">
                  <c:v>12</c:v>
                </c:pt>
                <c:pt idx="17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54-45DE-8002-9E3661901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624448"/>
        <c:axId val="119625984"/>
      </c:lineChart>
      <c:catAx>
        <c:axId val="119624448"/>
        <c:scaling>
          <c:orientation val="minMax"/>
        </c:scaling>
        <c:delete val="0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25984"/>
        <c:crosses val="autoZero"/>
        <c:auto val="1"/>
        <c:lblAlgn val="ctr"/>
        <c:lblOffset val="100"/>
        <c:noMultiLvlLbl val="0"/>
      </c:catAx>
      <c:valAx>
        <c:axId val="119625984"/>
        <c:scaling>
          <c:orientation val="maxMin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Phosphorus ug/l</a:t>
                </a:r>
              </a:p>
            </c:rich>
          </c:tx>
          <c:layout>
            <c:manualLayout>
              <c:xMode val="edge"/>
              <c:yMode val="edge"/>
              <c:x val="7.3863922305941548E-2"/>
              <c:y val="0.15349508577156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24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Average Total Nitrogen Watershed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120904838795342E-2"/>
          <c:y val="0.13025460930640914"/>
          <c:w val="0.88995649053591541"/>
          <c:h val="0.58118582785294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'MWS 2019 chemistry'!$Q$2</c:f>
              <c:strCache>
                <c:ptCount val="1"/>
                <c:pt idx="0">
                  <c:v>TN Ug/l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'MWS 2019 chemistry'!$A$3:$C$26</c:f>
              <c:multiLvlStrCache>
                <c:ptCount val="24"/>
                <c:lvl>
                  <c:pt idx="0">
                    <c:v>Site 36</c:v>
                  </c:pt>
                  <c:pt idx="1">
                    <c:v>Site 37</c:v>
                  </c:pt>
                  <c:pt idx="2">
                    <c:v>Site 58</c:v>
                  </c:pt>
                  <c:pt idx="3">
                    <c:v>Site 2a</c:v>
                  </c:pt>
                  <c:pt idx="4">
                    <c:v>Site 3a</c:v>
                  </c:pt>
                  <c:pt idx="5">
                    <c:v>Site 25</c:v>
                  </c:pt>
                  <c:pt idx="6">
                    <c:v>Site 4a</c:v>
                  </c:pt>
                  <c:pt idx="7">
                    <c:v>Site 5</c:v>
                  </c:pt>
                  <c:pt idx="8">
                    <c:v>Site 8a</c:v>
                  </c:pt>
                  <c:pt idx="9">
                    <c:v>Site 9</c:v>
                  </c:pt>
                  <c:pt idx="10">
                    <c:v>Site 12</c:v>
                  </c:pt>
                  <c:pt idx="11">
                    <c:v>Site 13a</c:v>
                  </c:pt>
                  <c:pt idx="12">
                    <c:v>Site 14a</c:v>
                  </c:pt>
                  <c:pt idx="13">
                    <c:v>Site 26</c:v>
                  </c:pt>
                  <c:pt idx="14">
                    <c:v>Site 64</c:v>
                  </c:pt>
                  <c:pt idx="15">
                    <c:v>Site 32</c:v>
                  </c:pt>
                  <c:pt idx="16">
                    <c:v>Site 34b</c:v>
                  </c:pt>
                  <c:pt idx="17">
                    <c:v>Site 15a</c:v>
                  </c:pt>
                  <c:pt idx="18">
                    <c:v>Site 19</c:v>
                  </c:pt>
                  <c:pt idx="19">
                    <c:v>Site 18</c:v>
                  </c:pt>
                  <c:pt idx="20">
                    <c:v>Site 16a</c:v>
                  </c:pt>
                  <c:pt idx="21">
                    <c:v>Site 40a</c:v>
                  </c:pt>
                  <c:pt idx="22">
                    <c:v>Site 45</c:v>
                  </c:pt>
                  <c:pt idx="23">
                    <c:v>Site 90</c:v>
                  </c:pt>
                </c:lvl>
                <c:lvl>
                  <c:pt idx="0">
                    <c:v>Evans</c:v>
                  </c:pt>
                  <c:pt idx="2">
                    <c:v>Upper Bear</c:v>
                  </c:pt>
                  <c:pt idx="5">
                    <c:v>Tribs</c:v>
                  </c:pt>
                  <c:pt idx="6">
                    <c:v>EGL</c:v>
                  </c:pt>
                  <c:pt idx="7">
                    <c:v>Middle Bear Creek </c:v>
                  </c:pt>
                  <c:pt idx="13">
                    <c:v>Middle Tribs</c:v>
                  </c:pt>
                  <c:pt idx="16">
                    <c:v>Mt. V</c:v>
                  </c:pt>
                  <c:pt idx="17">
                    <c:v>BCP</c:v>
                  </c:pt>
                  <c:pt idx="18">
                    <c:v>Turkey</c:v>
                  </c:pt>
                  <c:pt idx="19">
                    <c:v>Turkey</c:v>
                  </c:pt>
                  <c:pt idx="21">
                    <c:v>BCR</c:v>
                  </c:pt>
                  <c:pt idx="22">
                    <c:v>Lower Bear</c:v>
                  </c:pt>
                </c:lvl>
                <c:lvl>
                  <c:pt idx="0">
                    <c:v>Seg 7</c:v>
                  </c:pt>
                  <c:pt idx="2">
                    <c:v>Seg 1a</c:v>
                  </c:pt>
                  <c:pt idx="5">
                    <c:v>Seg 3</c:v>
                  </c:pt>
                  <c:pt idx="6">
                    <c:v>Seg 1d</c:v>
                  </c:pt>
                  <c:pt idx="7">
                    <c:v>Seg 1e</c:v>
                  </c:pt>
                  <c:pt idx="13">
                    <c:v>Seg 5</c:v>
                  </c:pt>
                  <c:pt idx="16">
                    <c:v>Seg 4a</c:v>
                  </c:pt>
                  <c:pt idx="17">
                    <c:v>Seg 1b</c:v>
                  </c:pt>
                  <c:pt idx="18">
                    <c:v>Seg 6b</c:v>
                  </c:pt>
                  <c:pt idx="19">
                    <c:v>Seg 6a</c:v>
                  </c:pt>
                  <c:pt idx="21">
                    <c:v>Seg 1c</c:v>
                  </c:pt>
                  <c:pt idx="22">
                    <c:v>Seg 2</c:v>
                  </c:pt>
                </c:lvl>
              </c:multiLvlStrCache>
            </c:multiLvlStrRef>
          </c:cat>
          <c:val>
            <c:numRef>
              <c:f>'MWS 2019 chemistry'!$Q$3:$Q$26</c:f>
              <c:numCache>
                <c:formatCode>#,##0</c:formatCode>
                <c:ptCount val="24"/>
                <c:pt idx="0">
                  <c:v>442.4</c:v>
                </c:pt>
                <c:pt idx="1">
                  <c:v>297.2</c:v>
                </c:pt>
                <c:pt idx="2">
                  <c:v>227.66666666666666</c:v>
                </c:pt>
                <c:pt idx="3">
                  <c:v>188.5</c:v>
                </c:pt>
                <c:pt idx="4">
                  <c:v>205.83333333333334</c:v>
                </c:pt>
                <c:pt idx="5">
                  <c:v>108.5</c:v>
                </c:pt>
                <c:pt idx="6">
                  <c:v>253.83333333333334</c:v>
                </c:pt>
                <c:pt idx="7">
                  <c:v>230.16666666666666</c:v>
                </c:pt>
                <c:pt idx="8">
                  <c:v>399.16666666666669</c:v>
                </c:pt>
                <c:pt idx="9">
                  <c:v>339.33333333333331</c:v>
                </c:pt>
                <c:pt idx="10">
                  <c:v>422.33333333333331</c:v>
                </c:pt>
                <c:pt idx="11">
                  <c:v>430.5</c:v>
                </c:pt>
                <c:pt idx="12">
                  <c:v>478.5</c:v>
                </c:pt>
                <c:pt idx="13">
                  <c:v>374.66666666666669</c:v>
                </c:pt>
                <c:pt idx="14">
                  <c:v>525.5</c:v>
                </c:pt>
                <c:pt idx="15">
                  <c:v>897.16666666666663</c:v>
                </c:pt>
                <c:pt idx="16">
                  <c:v>886</c:v>
                </c:pt>
                <c:pt idx="17">
                  <c:v>544.66666666666663</c:v>
                </c:pt>
                <c:pt idx="18">
                  <c:v>344.16666666666669</c:v>
                </c:pt>
                <c:pt idx="19">
                  <c:v>458.5</c:v>
                </c:pt>
                <c:pt idx="20">
                  <c:v>609.33333333333337</c:v>
                </c:pt>
                <c:pt idx="21">
                  <c:v>526.5</c:v>
                </c:pt>
                <c:pt idx="22">
                  <c:v>538.33333333333337</c:v>
                </c:pt>
                <c:pt idx="23">
                  <c:v>643.83333333333337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B-4B61-8E1A-984D95CA7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63061568"/>
        <c:axId val="563059272"/>
      </c:barChart>
      <c:catAx>
        <c:axId val="56306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3059272"/>
        <c:crosses val="autoZero"/>
        <c:auto val="1"/>
        <c:lblAlgn val="ctr"/>
        <c:lblOffset val="100"/>
        <c:noMultiLvlLbl val="0"/>
      </c:catAx>
      <c:valAx>
        <c:axId val="563059272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TN ug/l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306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Average Total Phosphorous Watershed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'MWS 2019 chemistry'!$R$2</c:f>
              <c:strCache>
                <c:ptCount val="1"/>
                <c:pt idx="0">
                  <c:v>T Phos Ug/l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'MWS 2019 chemistry'!$A$3:$C$26</c:f>
              <c:multiLvlStrCache>
                <c:ptCount val="24"/>
                <c:lvl>
                  <c:pt idx="0">
                    <c:v>Site 36</c:v>
                  </c:pt>
                  <c:pt idx="1">
                    <c:v>Site 37</c:v>
                  </c:pt>
                  <c:pt idx="2">
                    <c:v>Site 58</c:v>
                  </c:pt>
                  <c:pt idx="3">
                    <c:v>Site 2a</c:v>
                  </c:pt>
                  <c:pt idx="4">
                    <c:v>Site 3a</c:v>
                  </c:pt>
                  <c:pt idx="5">
                    <c:v>Site 25</c:v>
                  </c:pt>
                  <c:pt idx="6">
                    <c:v>Site 4a</c:v>
                  </c:pt>
                  <c:pt idx="7">
                    <c:v>Site 5</c:v>
                  </c:pt>
                  <c:pt idx="8">
                    <c:v>Site 8a</c:v>
                  </c:pt>
                  <c:pt idx="9">
                    <c:v>Site 9</c:v>
                  </c:pt>
                  <c:pt idx="10">
                    <c:v>Site 12</c:v>
                  </c:pt>
                  <c:pt idx="11">
                    <c:v>Site 13a</c:v>
                  </c:pt>
                  <c:pt idx="12">
                    <c:v>Site 14a</c:v>
                  </c:pt>
                  <c:pt idx="13">
                    <c:v>Site 26</c:v>
                  </c:pt>
                  <c:pt idx="14">
                    <c:v>Site 64</c:v>
                  </c:pt>
                  <c:pt idx="15">
                    <c:v>Site 32</c:v>
                  </c:pt>
                  <c:pt idx="16">
                    <c:v>Site 34b</c:v>
                  </c:pt>
                  <c:pt idx="17">
                    <c:v>Site 15a</c:v>
                  </c:pt>
                  <c:pt idx="18">
                    <c:v>Site 19</c:v>
                  </c:pt>
                  <c:pt idx="19">
                    <c:v>Site 18</c:v>
                  </c:pt>
                  <c:pt idx="20">
                    <c:v>Site 16a</c:v>
                  </c:pt>
                  <c:pt idx="21">
                    <c:v>Site 40a</c:v>
                  </c:pt>
                  <c:pt idx="22">
                    <c:v>Site 45</c:v>
                  </c:pt>
                  <c:pt idx="23">
                    <c:v>Site 90</c:v>
                  </c:pt>
                </c:lvl>
                <c:lvl>
                  <c:pt idx="0">
                    <c:v>Evans</c:v>
                  </c:pt>
                  <c:pt idx="2">
                    <c:v>Upper Bear</c:v>
                  </c:pt>
                  <c:pt idx="5">
                    <c:v>Tribs</c:v>
                  </c:pt>
                  <c:pt idx="6">
                    <c:v>EGL</c:v>
                  </c:pt>
                  <c:pt idx="7">
                    <c:v>Middle Bear Creek </c:v>
                  </c:pt>
                  <c:pt idx="13">
                    <c:v>Middle Tribs</c:v>
                  </c:pt>
                  <c:pt idx="16">
                    <c:v>Mt. V</c:v>
                  </c:pt>
                  <c:pt idx="17">
                    <c:v>BCP</c:v>
                  </c:pt>
                  <c:pt idx="18">
                    <c:v>Turkey</c:v>
                  </c:pt>
                  <c:pt idx="19">
                    <c:v>Turkey</c:v>
                  </c:pt>
                  <c:pt idx="21">
                    <c:v>BCR</c:v>
                  </c:pt>
                  <c:pt idx="22">
                    <c:v>Lower Bear</c:v>
                  </c:pt>
                </c:lvl>
                <c:lvl>
                  <c:pt idx="0">
                    <c:v>Seg 7</c:v>
                  </c:pt>
                  <c:pt idx="2">
                    <c:v>Seg 1a</c:v>
                  </c:pt>
                  <c:pt idx="5">
                    <c:v>Seg 3</c:v>
                  </c:pt>
                  <c:pt idx="6">
                    <c:v>Seg 1d</c:v>
                  </c:pt>
                  <c:pt idx="7">
                    <c:v>Seg 1e</c:v>
                  </c:pt>
                  <c:pt idx="13">
                    <c:v>Seg 5</c:v>
                  </c:pt>
                  <c:pt idx="16">
                    <c:v>Seg 4a</c:v>
                  </c:pt>
                  <c:pt idx="17">
                    <c:v>Seg 1b</c:v>
                  </c:pt>
                  <c:pt idx="18">
                    <c:v>Seg 6b</c:v>
                  </c:pt>
                  <c:pt idx="19">
                    <c:v>Seg 6a</c:v>
                  </c:pt>
                  <c:pt idx="21">
                    <c:v>Seg 1c</c:v>
                  </c:pt>
                  <c:pt idx="22">
                    <c:v>Seg 2</c:v>
                  </c:pt>
                </c:lvl>
              </c:multiLvlStrCache>
            </c:multiLvlStrRef>
          </c:cat>
          <c:val>
            <c:numRef>
              <c:f>'MWS 2019 chemistry'!$R$3:$R$26</c:f>
              <c:numCache>
                <c:formatCode>#,##0</c:formatCode>
                <c:ptCount val="24"/>
                <c:pt idx="0">
                  <c:v>67</c:v>
                </c:pt>
                <c:pt idx="1">
                  <c:v>11.6</c:v>
                </c:pt>
                <c:pt idx="2">
                  <c:v>13.833333333333334</c:v>
                </c:pt>
                <c:pt idx="3">
                  <c:v>17.333333333333332</c:v>
                </c:pt>
                <c:pt idx="4">
                  <c:v>16</c:v>
                </c:pt>
                <c:pt idx="5">
                  <c:v>9.1666666666666661</c:v>
                </c:pt>
                <c:pt idx="6">
                  <c:v>15</c:v>
                </c:pt>
                <c:pt idx="7">
                  <c:v>16.833333333333332</c:v>
                </c:pt>
                <c:pt idx="8">
                  <c:v>34.166666666666664</c:v>
                </c:pt>
                <c:pt idx="9">
                  <c:v>35.5</c:v>
                </c:pt>
                <c:pt idx="10">
                  <c:v>38.5</c:v>
                </c:pt>
                <c:pt idx="11">
                  <c:v>36.833333333333336</c:v>
                </c:pt>
                <c:pt idx="12">
                  <c:v>55.166666666666664</c:v>
                </c:pt>
                <c:pt idx="13">
                  <c:v>32.666666666666664</c:v>
                </c:pt>
                <c:pt idx="14">
                  <c:v>47.833333333333336</c:v>
                </c:pt>
                <c:pt idx="15">
                  <c:v>129.5</c:v>
                </c:pt>
                <c:pt idx="16">
                  <c:v>12</c:v>
                </c:pt>
                <c:pt idx="17">
                  <c:v>47.166666666666664</c:v>
                </c:pt>
                <c:pt idx="18">
                  <c:v>30.5</c:v>
                </c:pt>
                <c:pt idx="19">
                  <c:v>48.833333333333336</c:v>
                </c:pt>
                <c:pt idx="20">
                  <c:v>18.333333333333332</c:v>
                </c:pt>
                <c:pt idx="21">
                  <c:v>35.166666666666664</c:v>
                </c:pt>
                <c:pt idx="22">
                  <c:v>34.666666666666664</c:v>
                </c:pt>
                <c:pt idx="23">
                  <c:v>54.833333333333336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5-4702-B20F-81DE46FE1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58347464"/>
        <c:axId val="558348776"/>
      </c:barChart>
      <c:catAx>
        <c:axId val="55834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348776"/>
        <c:crosses val="autoZero"/>
        <c:auto val="1"/>
        <c:lblAlgn val="ctr"/>
        <c:lblOffset val="100"/>
        <c:noMultiLvlLbl val="0"/>
      </c:catAx>
      <c:valAx>
        <c:axId val="558348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TP ug/l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347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Total Phosphorus Seasonal Average ug/l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63940964641416E-2"/>
          <c:y val="0.18099248120300754"/>
          <c:w val="0.89935295752182365"/>
          <c:h val="0.54187437096678703"/>
        </c:manualLayout>
      </c:layout>
      <c:lineChart>
        <c:grouping val="standard"/>
        <c:varyColors val="0"/>
        <c:ser>
          <c:idx val="0"/>
          <c:order val="0"/>
          <c:tx>
            <c:strRef>
              <c:f>'MWS 2019 chemistry'!$D$154:$D$157</c:f>
              <c:strCache>
                <c:ptCount val="4"/>
                <c:pt idx="0">
                  <c:v>Cub Creek, Upstream @ Brookforest Inn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'MWS 2019 chemistry'!$E$154:$E$157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'MWS 2019 chemistry'!$M$154:$M$157</c:f>
              <c:numCache>
                <c:formatCode>#,##0</c:formatCode>
                <c:ptCount val="4"/>
                <c:pt idx="0">
                  <c:v>24.666666666666668</c:v>
                </c:pt>
                <c:pt idx="1">
                  <c:v>95.833333333333329</c:v>
                </c:pt>
                <c:pt idx="2">
                  <c:v>33.833333333333336</c:v>
                </c:pt>
                <c:pt idx="3">
                  <c:v>57.166666666666664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13-4357-9BA3-749E5A8209C8}"/>
            </c:ext>
          </c:extLst>
        </c:ser>
        <c:ser>
          <c:idx val="1"/>
          <c:order val="1"/>
          <c:tx>
            <c:strRef>
              <c:f>'MWS 2019 chemistry'!$D$158:$D$161</c:f>
              <c:strCache>
                <c:ptCount val="4"/>
                <c:pt idx="0">
                  <c:v>Cub Creek, Upstream of Cub Creek Park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'MWS 2019 chemistry'!$M$158:$M$161</c:f>
              <c:numCache>
                <c:formatCode>#,##0</c:formatCode>
                <c:ptCount val="4"/>
                <c:pt idx="0">
                  <c:v>40.166666666666664</c:v>
                </c:pt>
                <c:pt idx="1">
                  <c:v>77</c:v>
                </c:pt>
                <c:pt idx="2">
                  <c:v>85.833333333333329</c:v>
                </c:pt>
                <c:pt idx="3">
                  <c:v>43.333333333333336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13-4357-9BA3-749E5A820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5070888"/>
        <c:axId val="495073840"/>
      </c:lineChart>
      <c:catAx>
        <c:axId val="495070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073840"/>
        <c:crosses val="autoZero"/>
        <c:auto val="1"/>
        <c:lblAlgn val="ctr"/>
        <c:lblOffset val="100"/>
        <c:noMultiLvlLbl val="0"/>
      </c:catAx>
      <c:valAx>
        <c:axId val="49507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070888"/>
        <c:crosses val="autoZero"/>
        <c:crossBetween val="between"/>
      </c:valAx>
      <c:spPr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Phosphorus Pounds/Season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'MWS 2019 chemistry'!$D$176:$D$179</c:f>
              <c:strCache>
                <c:ptCount val="4"/>
                <c:pt idx="0">
                  <c:v>Upper Cub Creek, @ Brookforest Inn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'MWS 2019 chemistry'!$E$176:$E$179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'MWS 2019 chemistry'!$M$176:$M$179</c:f>
              <c:numCache>
                <c:formatCode>#,##0</c:formatCode>
                <c:ptCount val="4"/>
                <c:pt idx="0">
                  <c:v>51.726188382960004</c:v>
                </c:pt>
                <c:pt idx="1">
                  <c:v>851.34619942680001</c:v>
                </c:pt>
                <c:pt idx="2">
                  <c:v>129.02334670050001</c:v>
                </c:pt>
                <c:pt idx="3">
                  <c:v>184.44887571936005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8C-4B2D-819E-994163DD469C}"/>
            </c:ext>
          </c:extLst>
        </c:ser>
        <c:ser>
          <c:idx val="1"/>
          <c:order val="1"/>
          <c:tx>
            <c:strRef>
              <c:f>'MWS 2019 chemistry'!$D$180:$D$183</c:f>
              <c:strCache>
                <c:ptCount val="4"/>
                <c:pt idx="0">
                  <c:v>Lower Cub Creek, Cub Creek Park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'MWS 2019 chemistry'!$M$180:$M$183</c:f>
              <c:numCache>
                <c:formatCode>#,##0</c:formatCode>
                <c:ptCount val="4"/>
                <c:pt idx="0">
                  <c:v>359.18606161909804</c:v>
                </c:pt>
                <c:pt idx="1">
                  <c:v>3037.7623495401008</c:v>
                </c:pt>
                <c:pt idx="2">
                  <c:v>1863.8720925909004</c:v>
                </c:pt>
                <c:pt idx="3">
                  <c:v>252.58564370676001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8C-4B2D-819E-994163DD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353403672"/>
        <c:axId val="353406296"/>
      </c:barChart>
      <c:catAx>
        <c:axId val="353403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406296"/>
        <c:crosses val="autoZero"/>
        <c:auto val="1"/>
        <c:lblAlgn val="ctr"/>
        <c:lblOffset val="100"/>
        <c:noMultiLvlLbl val="0"/>
      </c:catAx>
      <c:valAx>
        <c:axId val="353406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3403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Bear Creek Watershed - Nitrate Inflow Trend </a:t>
            </a:r>
          </a:p>
        </c:rich>
      </c:tx>
      <c:layout>
        <c:manualLayout>
          <c:xMode val="edge"/>
          <c:yMode val="edge"/>
          <c:x val="0.23296354992076071"/>
          <c:y val="3.384615384615384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16781237433921"/>
          <c:y val="0.14247349229645068"/>
          <c:w val="0.82709591392320592"/>
          <c:h val="0.725808356981837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'Nitrogen Trends'!$A$3</c:f>
              <c:strCache>
                <c:ptCount val="1"/>
                <c:pt idx="0">
                  <c:v>Bear Creek Inflow</c:v>
                </c:pt>
              </c:strCache>
            </c:strRef>
          </c:tx>
          <c:invertIfNegative val="0"/>
          <c:cat>
            <c:numRef>
              <c:f>'Nitrogen Trends'!$B$3:$B$28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'Nitrogen Trends'!$C$3:$C$28</c:f>
              <c:numCache>
                <c:formatCode>0</c:formatCode>
                <c:ptCount val="26"/>
                <c:pt idx="0">
                  <c:v>773</c:v>
                </c:pt>
                <c:pt idx="1">
                  <c:v>1078</c:v>
                </c:pt>
                <c:pt idx="2">
                  <c:v>931</c:v>
                </c:pt>
                <c:pt idx="3">
                  <c:v>1253</c:v>
                </c:pt>
                <c:pt idx="4">
                  <c:v>1472</c:v>
                </c:pt>
                <c:pt idx="5">
                  <c:v>1932</c:v>
                </c:pt>
                <c:pt idx="6">
                  <c:v>1367.4375</c:v>
                </c:pt>
                <c:pt idx="7">
                  <c:v>798.58375000000012</c:v>
                </c:pt>
                <c:pt idx="8">
                  <c:v>525</c:v>
                </c:pt>
                <c:pt idx="9">
                  <c:v>521</c:v>
                </c:pt>
                <c:pt idx="10">
                  <c:v>1483</c:v>
                </c:pt>
                <c:pt idx="11">
                  <c:v>974</c:v>
                </c:pt>
                <c:pt idx="12">
                  <c:v>4314</c:v>
                </c:pt>
                <c:pt idx="13" formatCode="#,##0">
                  <c:v>1757</c:v>
                </c:pt>
                <c:pt idx="14" formatCode="#,##0">
                  <c:v>444</c:v>
                </c:pt>
                <c:pt idx="15" formatCode="#,##0">
                  <c:v>1100</c:v>
                </c:pt>
                <c:pt idx="16" formatCode="#,##0">
                  <c:v>1570</c:v>
                </c:pt>
                <c:pt idx="17" formatCode="#,##0">
                  <c:v>747</c:v>
                </c:pt>
                <c:pt idx="18" formatCode="#,##0">
                  <c:v>1093</c:v>
                </c:pt>
                <c:pt idx="19" formatCode="#,##0">
                  <c:v>322</c:v>
                </c:pt>
                <c:pt idx="20" formatCode="#,##0">
                  <c:v>1296</c:v>
                </c:pt>
                <c:pt idx="21" formatCode="#,##0">
                  <c:v>760</c:v>
                </c:pt>
                <c:pt idx="22" formatCode="#,##0">
                  <c:v>1024</c:v>
                </c:pt>
                <c:pt idx="23" formatCode="#,##0">
                  <c:v>800</c:v>
                </c:pt>
                <c:pt idx="24" formatCode="#,##0">
                  <c:v>384</c:v>
                </c:pt>
                <c:pt idx="25" formatCode="#,##0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3-4C34-9D9B-D7BD0165C711}"/>
            </c:ext>
          </c:extLst>
        </c:ser>
        <c:ser>
          <c:idx val="1"/>
          <c:order val="1"/>
          <c:tx>
            <c:strRef>
              <c:f>'Nitrogen Trends'!$A$51</c:f>
              <c:strCache>
                <c:ptCount val="1"/>
                <c:pt idx="0">
                  <c:v>Turkey Creek Inflow</c:v>
                </c:pt>
              </c:strCache>
            </c:strRef>
          </c:tx>
          <c:invertIfNegative val="0"/>
          <c:cat>
            <c:numRef>
              <c:f>'Nitrogen Trends'!$B$3:$B$28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'Nitrogen Trends'!$C$51:$C$76</c:f>
              <c:numCache>
                <c:formatCode>0</c:formatCode>
                <c:ptCount val="26"/>
                <c:pt idx="0">
                  <c:v>1121</c:v>
                </c:pt>
                <c:pt idx="1">
                  <c:v>1590</c:v>
                </c:pt>
                <c:pt idx="2">
                  <c:v>2941</c:v>
                </c:pt>
                <c:pt idx="3">
                  <c:v>1224</c:v>
                </c:pt>
                <c:pt idx="4">
                  <c:v>963</c:v>
                </c:pt>
                <c:pt idx="5">
                  <c:v>476</c:v>
                </c:pt>
                <c:pt idx="6">
                  <c:v>618.3125</c:v>
                </c:pt>
                <c:pt idx="7">
                  <c:v>419.54062500000003</c:v>
                </c:pt>
                <c:pt idx="8">
                  <c:v>536</c:v>
                </c:pt>
                <c:pt idx="9">
                  <c:v>192</c:v>
                </c:pt>
                <c:pt idx="10">
                  <c:v>803</c:v>
                </c:pt>
                <c:pt idx="11">
                  <c:v>486</c:v>
                </c:pt>
                <c:pt idx="12">
                  <c:v>686</c:v>
                </c:pt>
                <c:pt idx="13" formatCode="#,##0">
                  <c:v>764</c:v>
                </c:pt>
                <c:pt idx="14" formatCode="#,##0">
                  <c:v>385</c:v>
                </c:pt>
                <c:pt idx="15" formatCode="#,##0">
                  <c:v>481</c:v>
                </c:pt>
                <c:pt idx="16" formatCode="#,##0">
                  <c:v>419</c:v>
                </c:pt>
                <c:pt idx="17" formatCode="#,##0">
                  <c:v>410</c:v>
                </c:pt>
                <c:pt idx="18" formatCode="#,##0">
                  <c:v>671</c:v>
                </c:pt>
                <c:pt idx="19" formatCode="#,##0">
                  <c:v>1018</c:v>
                </c:pt>
                <c:pt idx="20" formatCode="#,##0">
                  <c:v>569</c:v>
                </c:pt>
                <c:pt idx="21" formatCode="#,##0">
                  <c:v>433</c:v>
                </c:pt>
                <c:pt idx="22" formatCode="#,##0">
                  <c:v>445</c:v>
                </c:pt>
                <c:pt idx="23" formatCode="#,##0">
                  <c:v>443</c:v>
                </c:pt>
                <c:pt idx="24" formatCode="#,##0">
                  <c:v>318</c:v>
                </c:pt>
                <c:pt idx="25" formatCode="#,##0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3-4C34-9D9B-D7BD0165C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465728"/>
        <c:axId val="107549440"/>
      </c:barChart>
      <c:catAx>
        <c:axId val="10746572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en-US"/>
          </a:p>
        </c:txPr>
        <c:crossAx val="10754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7549440"/>
        <c:scaling>
          <c:orientation val="minMax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Nitrate (ug/l)</a:t>
                </a:r>
              </a:p>
            </c:rich>
          </c:tx>
          <c:layout>
            <c:manualLayout>
              <c:xMode val="edge"/>
              <c:yMode val="edge"/>
              <c:x val="1.6042859935693463E-2"/>
              <c:y val="0.3736566929133858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07465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671998736553505"/>
          <c:y val="0.16975840215095594"/>
          <c:w val="0.2883727786176023"/>
          <c:h val="0.13552314707017321"/>
        </c:manualLayout>
      </c:layout>
      <c:overlay val="0"/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</c:spPr>
      <c:txPr>
        <a:bodyPr/>
        <a:lstStyle/>
        <a:p>
          <a:pPr>
            <a:defRPr sz="1050"/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</c:spPr>
  <c:printSettings>
    <c:headerFooter alignWithMargins="0"/>
    <c:pageMargins b="1" l="0.75000000000001465" r="0.75000000000001465" t="1" header="0.5" footer="0.5"/>
    <c:pageSetup orientation="landscape" horizontalDpi="-2" verticalDpi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Nitrogen Pounds/Season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'MWS 2019 chemistry'!$D$187:$D$190</c:f>
              <c:strCache>
                <c:ptCount val="4"/>
                <c:pt idx="0">
                  <c:v>Upper Cub Creek,  @ Brookforest Inn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'MWS 2019 chemistry'!$E$187:$E$190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'MWS 2019 chemistry'!$M$187:$M$190</c:f>
              <c:numCache>
                <c:formatCode>#,##0</c:formatCode>
                <c:ptCount val="4"/>
                <c:pt idx="0">
                  <c:v>814.09754882337006</c:v>
                </c:pt>
                <c:pt idx="1">
                  <c:v>2020.3626790326005</c:v>
                </c:pt>
                <c:pt idx="2">
                  <c:v>1531.6884745617001</c:v>
                </c:pt>
                <c:pt idx="3">
                  <c:v>873.66163080819013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8-472A-82E8-C2F0815DFBC5}"/>
            </c:ext>
          </c:extLst>
        </c:ser>
        <c:ser>
          <c:idx val="1"/>
          <c:order val="1"/>
          <c:tx>
            <c:strRef>
              <c:f>'MWS 2019 chemistry'!$D$191:$D$194</c:f>
              <c:strCache>
                <c:ptCount val="4"/>
                <c:pt idx="0">
                  <c:v>Lower Cub Creek, Cub Creek Park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'MWS 2019 chemistry'!$M$191:$M$194</c:f>
              <c:numCache>
                <c:formatCode>#,##0</c:formatCode>
                <c:ptCount val="4"/>
                <c:pt idx="0">
                  <c:v>3133.3081268068449</c:v>
                </c:pt>
                <c:pt idx="1">
                  <c:v>9539.4299230167017</c:v>
                </c:pt>
                <c:pt idx="2">
                  <c:v>6657.8741352249008</c:v>
                </c:pt>
                <c:pt idx="3">
                  <c:v>2409.7669053406198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8-472A-82E8-C2F0815DF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55113944"/>
        <c:axId val="355107384"/>
      </c:barChart>
      <c:catAx>
        <c:axId val="355113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07384"/>
        <c:crosses val="autoZero"/>
        <c:auto val="1"/>
        <c:lblAlgn val="ctr"/>
        <c:lblOffset val="100"/>
        <c:noMultiLvlLbl val="0"/>
      </c:catAx>
      <c:valAx>
        <c:axId val="3551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13944"/>
        <c:crosses val="autoZero"/>
        <c:crossBetween val="between"/>
      </c:valAx>
      <c:spPr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Seasonal Average Flow cfs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'MWS 2019 chemistry'!$D$132:$D$135</c:f>
              <c:strCache>
                <c:ptCount val="4"/>
                <c:pt idx="0">
                  <c:v>Cub Creek, Upstream @ Brookforest Inn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'MWS 2019 chemistry'!$E$132:$E$135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'MWS 2019 chemistry'!$M$132:$M$135</c:f>
              <c:numCache>
                <c:formatCode>#,##0.0</c:formatCode>
                <c:ptCount val="4"/>
                <c:pt idx="0">
                  <c:v>2.1708333333333334</c:v>
                </c:pt>
                <c:pt idx="1">
                  <c:v>4.0666666666666664</c:v>
                </c:pt>
                <c:pt idx="2">
                  <c:v>3.8333333333333335</c:v>
                </c:pt>
                <c:pt idx="3">
                  <c:v>1.8933333333333333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0-46E9-81A6-94344FFADEE5}"/>
            </c:ext>
          </c:extLst>
        </c:ser>
        <c:ser>
          <c:idx val="1"/>
          <c:order val="1"/>
          <c:tx>
            <c:strRef>
              <c:f>'MWS 2019 chemistry'!$D$136:$D$139</c:f>
              <c:strCache>
                <c:ptCount val="4"/>
                <c:pt idx="0">
                  <c:v>Cub Creek, Upstream of Cub Creek Park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val>
            <c:numRef>
              <c:f>'MWS 2019 chemistry'!$M$136:$M$139</c:f>
              <c:numCache>
                <c:formatCode>#,##0.0</c:formatCode>
                <c:ptCount val="4"/>
                <c:pt idx="0">
                  <c:v>8.0403333333333311</c:v>
                </c:pt>
                <c:pt idx="1">
                  <c:v>13.25</c:v>
                </c:pt>
                <c:pt idx="2">
                  <c:v>13.049999999999999</c:v>
                </c:pt>
                <c:pt idx="3">
                  <c:v>5.8166666666666664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0-46E9-81A6-94344FFAD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205976"/>
        <c:axId val="356206304"/>
      </c:lineChart>
      <c:catAx>
        <c:axId val="35620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206304"/>
        <c:crosses val="autoZero"/>
        <c:auto val="1"/>
        <c:lblAlgn val="ctr"/>
        <c:lblOffset val="100"/>
        <c:noMultiLvlLbl val="0"/>
      </c:catAx>
      <c:valAx>
        <c:axId val="35620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6205976"/>
        <c:crosses val="autoZero"/>
        <c:crossBetween val="between"/>
      </c:valAx>
      <c:spPr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Nitrogen Seasonal Average ug/l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'MWS 2019 chemistry'!$D$165:$D$168</c:f>
              <c:strCache>
                <c:ptCount val="4"/>
                <c:pt idx="0">
                  <c:v>Cub Creek, Upstream @ Brookforest Inn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'MWS 2019 chemistry'!$E$165:$E$168</c:f>
              <c:numCache>
                <c:formatCode>General</c:formatCode>
                <c:ptCount val="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</c:numCache>
            </c:numRef>
          </c:cat>
          <c:val>
            <c:numRef>
              <c:f>'MWS 2019 chemistry'!$M$165:$M$168</c:f>
              <c:numCache>
                <c:formatCode>#,##0</c:formatCode>
                <c:ptCount val="4"/>
                <c:pt idx="0">
                  <c:v>415.5</c:v>
                </c:pt>
                <c:pt idx="1">
                  <c:v>392</c:v>
                </c:pt>
                <c:pt idx="2">
                  <c:v>315</c:v>
                </c:pt>
                <c:pt idx="3">
                  <c:v>790.66666666666663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E-4D89-9A30-A18346EA29CB}"/>
            </c:ext>
          </c:extLst>
        </c:ser>
        <c:ser>
          <c:idx val="1"/>
          <c:order val="1"/>
          <c:tx>
            <c:strRef>
              <c:f>'MWS 2019 chemistry'!$D$169:$D$172</c:f>
              <c:strCache>
                <c:ptCount val="4"/>
                <c:pt idx="0">
                  <c:v>Cub Creek, Upstream of Cub Creek Park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'MWS 2019 chemistry'!$M$169:$M$172</c:f>
              <c:numCache>
                <c:formatCode>#,##0</c:formatCode>
                <c:ptCount val="4"/>
                <c:pt idx="0">
                  <c:v>505.33333333333331</c:v>
                </c:pt>
                <c:pt idx="1">
                  <c:v>492</c:v>
                </c:pt>
                <c:pt idx="2">
                  <c:v>429.33333333333331</c:v>
                </c:pt>
                <c:pt idx="3">
                  <c:v>323.16666666666669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E-4D89-9A30-A18346EA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040736"/>
        <c:axId val="492047624"/>
      </c:lineChart>
      <c:catAx>
        <c:axId val="49204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047624"/>
        <c:crosses val="autoZero"/>
        <c:auto val="1"/>
        <c:lblAlgn val="ctr"/>
        <c:lblOffset val="100"/>
        <c:noMultiLvlLbl val="0"/>
      </c:catAx>
      <c:valAx>
        <c:axId val="492047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040736"/>
        <c:crosses val="autoZero"/>
        <c:crossBetween val="between"/>
      </c:valAx>
      <c:spPr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Seasonal Total Phosphorus Pounds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220142286498454E-2"/>
          <c:y val="0.14392523364485982"/>
          <c:w val="0.92103252320334916"/>
          <c:h val="0.553852217070997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'MWS 2019 chemistry'!$S$2</c:f>
              <c:strCache>
                <c:ptCount val="1"/>
                <c:pt idx="0">
                  <c:v>TP Pounds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'MWS 2019 chemistry'!$A$3:$C$26</c:f>
              <c:multiLvlStrCache>
                <c:ptCount val="24"/>
                <c:lvl>
                  <c:pt idx="0">
                    <c:v>Site 36</c:v>
                  </c:pt>
                  <c:pt idx="1">
                    <c:v>Site 37</c:v>
                  </c:pt>
                  <c:pt idx="2">
                    <c:v>Site 58</c:v>
                  </c:pt>
                  <c:pt idx="3">
                    <c:v>Site 2a</c:v>
                  </c:pt>
                  <c:pt idx="4">
                    <c:v>Site 3a</c:v>
                  </c:pt>
                  <c:pt idx="5">
                    <c:v>Site 25</c:v>
                  </c:pt>
                  <c:pt idx="6">
                    <c:v>Site 4a</c:v>
                  </c:pt>
                  <c:pt idx="7">
                    <c:v>Site 5</c:v>
                  </c:pt>
                  <c:pt idx="8">
                    <c:v>Site 8a</c:v>
                  </c:pt>
                  <c:pt idx="9">
                    <c:v>Site 9</c:v>
                  </c:pt>
                  <c:pt idx="10">
                    <c:v>Site 12</c:v>
                  </c:pt>
                  <c:pt idx="11">
                    <c:v>Site 13a</c:v>
                  </c:pt>
                  <c:pt idx="12">
                    <c:v>Site 14a</c:v>
                  </c:pt>
                  <c:pt idx="13">
                    <c:v>Site 26</c:v>
                  </c:pt>
                  <c:pt idx="14">
                    <c:v>Site 64</c:v>
                  </c:pt>
                  <c:pt idx="15">
                    <c:v>Site 32</c:v>
                  </c:pt>
                  <c:pt idx="16">
                    <c:v>Site 34b</c:v>
                  </c:pt>
                  <c:pt idx="17">
                    <c:v>Site 15a</c:v>
                  </c:pt>
                  <c:pt idx="18">
                    <c:v>Site 19</c:v>
                  </c:pt>
                  <c:pt idx="19">
                    <c:v>Site 18</c:v>
                  </c:pt>
                  <c:pt idx="20">
                    <c:v>Site 16a</c:v>
                  </c:pt>
                  <c:pt idx="21">
                    <c:v>Site 40a</c:v>
                  </c:pt>
                  <c:pt idx="22">
                    <c:v>Site 45</c:v>
                  </c:pt>
                  <c:pt idx="23">
                    <c:v>Site 90</c:v>
                  </c:pt>
                </c:lvl>
                <c:lvl>
                  <c:pt idx="0">
                    <c:v>Evans</c:v>
                  </c:pt>
                  <c:pt idx="2">
                    <c:v>Upper Bear</c:v>
                  </c:pt>
                  <c:pt idx="5">
                    <c:v>Tribs</c:v>
                  </c:pt>
                  <c:pt idx="6">
                    <c:v>EGL</c:v>
                  </c:pt>
                  <c:pt idx="7">
                    <c:v>Middle Bear Creek </c:v>
                  </c:pt>
                  <c:pt idx="13">
                    <c:v>Middle Tribs</c:v>
                  </c:pt>
                  <c:pt idx="16">
                    <c:v>Mt. V</c:v>
                  </c:pt>
                  <c:pt idx="17">
                    <c:v>BCP</c:v>
                  </c:pt>
                  <c:pt idx="18">
                    <c:v>Turkey</c:v>
                  </c:pt>
                  <c:pt idx="19">
                    <c:v>Turkey</c:v>
                  </c:pt>
                  <c:pt idx="21">
                    <c:v>BCR</c:v>
                  </c:pt>
                  <c:pt idx="22">
                    <c:v>Lower Bear</c:v>
                  </c:pt>
                </c:lvl>
                <c:lvl>
                  <c:pt idx="0">
                    <c:v>Seg 7</c:v>
                  </c:pt>
                  <c:pt idx="2">
                    <c:v>Seg 1a</c:v>
                  </c:pt>
                  <c:pt idx="5">
                    <c:v>Seg 3</c:v>
                  </c:pt>
                  <c:pt idx="6">
                    <c:v>Seg 1d</c:v>
                  </c:pt>
                  <c:pt idx="7">
                    <c:v>Seg 1e</c:v>
                  </c:pt>
                  <c:pt idx="13">
                    <c:v>Seg 5</c:v>
                  </c:pt>
                  <c:pt idx="16">
                    <c:v>Seg 4a</c:v>
                  </c:pt>
                  <c:pt idx="17">
                    <c:v>Seg 1b</c:v>
                  </c:pt>
                  <c:pt idx="18">
                    <c:v>Seg 6b</c:v>
                  </c:pt>
                  <c:pt idx="19">
                    <c:v>Seg 6a</c:v>
                  </c:pt>
                  <c:pt idx="21">
                    <c:v>Seg 1c</c:v>
                  </c:pt>
                  <c:pt idx="22">
                    <c:v>Seg 2</c:v>
                  </c:pt>
                </c:lvl>
              </c:multiLvlStrCache>
            </c:multiLvlStrRef>
          </c:cat>
          <c:val>
            <c:numRef>
              <c:f>'MWS 2019 chemistry'!$S$3:$S$26</c:f>
              <c:numCache>
                <c:formatCode>#,##0</c:formatCode>
                <c:ptCount val="24"/>
                <c:pt idx="0">
                  <c:v>118.58665000000001</c:v>
                </c:pt>
                <c:pt idx="1">
                  <c:v>26.185457200000002</c:v>
                </c:pt>
                <c:pt idx="2">
                  <c:v>425.76705465000009</c:v>
                </c:pt>
                <c:pt idx="3">
                  <c:v>697.46961211200005</c:v>
                </c:pt>
                <c:pt idx="4">
                  <c:v>675.95717145600008</c:v>
                </c:pt>
                <c:pt idx="5">
                  <c:v>59.842274992500002</c:v>
                </c:pt>
                <c:pt idx="6">
                  <c:v>618.39330000000007</c:v>
                </c:pt>
                <c:pt idx="7">
                  <c:v>737.61374867250004</c:v>
                </c:pt>
                <c:pt idx="8">
                  <c:v>1524.8103252375004</c:v>
                </c:pt>
                <c:pt idx="9">
                  <c:v>1602.1422576810003</c:v>
                </c:pt>
                <c:pt idx="10">
                  <c:v>1738.1582275365004</c:v>
                </c:pt>
                <c:pt idx="11">
                  <c:v>1676.6366430450005</c:v>
                </c:pt>
                <c:pt idx="12">
                  <c:v>2083.1024378745005</c:v>
                </c:pt>
                <c:pt idx="13">
                  <c:v>205.31853501599997</c:v>
                </c:pt>
                <c:pt idx="14">
                  <c:v>9.2982988980000023</c:v>
                </c:pt>
                <c:pt idx="15">
                  <c:v>268.51672915199998</c:v>
                </c:pt>
                <c:pt idx="16">
                  <c:v>5.8316857200000003</c:v>
                </c:pt>
                <c:pt idx="17">
                  <c:v>1608.2609830000001</c:v>
                </c:pt>
                <c:pt idx="18">
                  <c:v>35.227431530550007</c:v>
                </c:pt>
                <c:pt idx="19">
                  <c:v>14.713667054100002</c:v>
                </c:pt>
                <c:pt idx="20">
                  <c:v>49.821823333333327</c:v>
                </c:pt>
                <c:pt idx="21">
                  <c:v>1294.6594266666666</c:v>
                </c:pt>
                <c:pt idx="22">
                  <c:v>1184.1201493333333</c:v>
                </c:pt>
                <c:pt idx="23">
                  <c:v>2192.9331048333338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A-4F7A-932E-F624CBAE8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7983720"/>
        <c:axId val="587983064"/>
      </c:barChart>
      <c:catAx>
        <c:axId val="587983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983064"/>
        <c:crosses val="autoZero"/>
        <c:auto val="1"/>
        <c:lblAlgn val="ctr"/>
        <c:lblOffset val="100"/>
        <c:noMultiLvlLbl val="0"/>
      </c:catAx>
      <c:valAx>
        <c:axId val="58798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983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2019 E. Coli</a:t>
            </a:r>
          </a:p>
        </c:rich>
      </c:tx>
      <c:layout>
        <c:manualLayout>
          <c:xMode val="edge"/>
          <c:yMode val="edge"/>
          <c:x val="0.42327673319511422"/>
          <c:y val="6.29867806994099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40070050485395"/>
          <c:y val="0.12337037775341372"/>
          <c:w val="0.85697354181438212"/>
          <c:h val="0.647526662015349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'E. coli'!$D$2</c:f>
              <c:strCache>
                <c:ptCount val="1"/>
                <c:pt idx="0">
                  <c:v>Site 45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'E. coli'!$T$33:$T$44</c:f>
              <c:strCache>
                <c:ptCount val="12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</c:strCache>
            </c:strRef>
          </c:cat>
          <c:val>
            <c:numRef>
              <c:f>'E. coli'!$Q$34:$Q$45</c:f>
              <c:numCache>
                <c:formatCode>General</c:formatCode>
                <c:ptCount val="12"/>
                <c:pt idx="0" formatCode="#,##0">
                  <c:v>8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5-4D4C-83B8-2778605718DF}"/>
            </c:ext>
          </c:extLst>
        </c:ser>
        <c:ser>
          <c:idx val="1"/>
          <c:order val="1"/>
          <c:tx>
            <c:strRef>
              <c:f>'E. coli'!$E$2</c:f>
              <c:strCache>
                <c:ptCount val="1"/>
                <c:pt idx="0">
                  <c:v>Site 90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val>
            <c:numRef>
              <c:f>'E. coli'!$R$34:$R$45</c:f>
              <c:numCache>
                <c:formatCode>General</c:formatCode>
                <c:ptCount val="12"/>
                <c:pt idx="0">
                  <c:v>7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13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240</c:v>
                </c:pt>
                <c:pt idx="9">
                  <c:v>30</c:v>
                </c:pt>
                <c:pt idx="10">
                  <c:v>4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5-4D4C-83B8-277860571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2459760"/>
        <c:axId val="642465008"/>
      </c:barChart>
      <c:catAx>
        <c:axId val="64245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465008"/>
        <c:crosses val="autoZero"/>
        <c:auto val="1"/>
        <c:lblAlgn val="ctr"/>
        <c:lblOffset val="100"/>
        <c:noMultiLvlLbl val="0"/>
      </c:catAx>
      <c:valAx>
        <c:axId val="642465008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cts/ 100ml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45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535742477707372"/>
          <c:y val="0.85167492444645465"/>
          <c:w val="0.40613516866655658"/>
          <c:h val="8.8120721202277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Total Nitrogen EGL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79676094422538"/>
          <c:y val="0.13143365820531178"/>
          <c:w val="0.85547787449790635"/>
          <c:h val="0.50765009268946282"/>
        </c:manualLayout>
      </c:layout>
      <c:lineChart>
        <c:grouping val="standard"/>
        <c:varyColors val="0"/>
        <c:ser>
          <c:idx val="0"/>
          <c:order val="0"/>
          <c:tx>
            <c:strRef>
              <c:f>'EGL Summary'!$A$4:$A$6</c:f>
              <c:strCache>
                <c:ptCount val="1"/>
                <c:pt idx="0">
                  <c:v>EGL 4a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'EGL Summary'!$C$3:$H$3</c:f>
              <c:numCache>
                <c:formatCode>m/d/yyyy</c:formatCode>
                <c:ptCount val="6"/>
                <c:pt idx="0">
                  <c:v>43602</c:v>
                </c:pt>
                <c:pt idx="1">
                  <c:v>43628</c:v>
                </c:pt>
                <c:pt idx="2">
                  <c:v>43655</c:v>
                </c:pt>
                <c:pt idx="3">
                  <c:v>43691</c:v>
                </c:pt>
                <c:pt idx="4">
                  <c:v>43719</c:v>
                </c:pt>
                <c:pt idx="5">
                  <c:v>43747</c:v>
                </c:pt>
              </c:numCache>
            </c:numRef>
          </c:cat>
          <c:val>
            <c:numRef>
              <c:f>'EGL Summary'!$C$4:$H$4</c:f>
              <c:numCache>
                <c:formatCode>0</c:formatCode>
                <c:ptCount val="6"/>
                <c:pt idx="0">
                  <c:v>246</c:v>
                </c:pt>
                <c:pt idx="1">
                  <c:v>319</c:v>
                </c:pt>
                <c:pt idx="2">
                  <c:v>271</c:v>
                </c:pt>
                <c:pt idx="3">
                  <c:v>239</c:v>
                </c:pt>
                <c:pt idx="4">
                  <c:v>244</c:v>
                </c:pt>
                <c:pt idx="5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B-467E-9105-B11B660CAEA2}"/>
            </c:ext>
          </c:extLst>
        </c:ser>
        <c:ser>
          <c:idx val="1"/>
          <c:order val="1"/>
          <c:tx>
            <c:strRef>
              <c:f>'EGL Summary'!$A$10:$A$12</c:f>
              <c:strCache>
                <c:ptCount val="1"/>
                <c:pt idx="0">
                  <c:v>EGL 4a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'EGL Summary'!$C$7:$H$7</c:f>
              <c:numCache>
                <c:formatCode>0</c:formatCode>
                <c:ptCount val="6"/>
                <c:pt idx="0">
                  <c:v>249</c:v>
                </c:pt>
                <c:pt idx="1">
                  <c:v>317</c:v>
                </c:pt>
                <c:pt idx="2">
                  <c:v>213</c:v>
                </c:pt>
                <c:pt idx="3">
                  <c:v>238</c:v>
                </c:pt>
                <c:pt idx="4">
                  <c:v>275</c:v>
                </c:pt>
                <c:pt idx="5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B-467E-9105-B11B660CA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938688"/>
        <c:axId val="83969152"/>
      </c:lineChart>
      <c:dateAx>
        <c:axId val="83938688"/>
        <c:scaling>
          <c:orientation val="minMax"/>
        </c:scaling>
        <c:delete val="0"/>
        <c:axPos val="b"/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969152"/>
        <c:crosses val="autoZero"/>
        <c:auto val="1"/>
        <c:lblOffset val="100"/>
        <c:baseTimeUnit val="days"/>
        <c:majorUnit val="1"/>
        <c:majorTimeUnit val="months"/>
        <c:minorUnit val="1"/>
        <c:minorTimeUnit val="days"/>
      </c:dateAx>
      <c:valAx>
        <c:axId val="83969152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Nitrogrn ug/l</a:t>
                </a:r>
              </a:p>
            </c:rich>
          </c:tx>
          <c:layout>
            <c:manualLayout>
              <c:xMode val="edge"/>
              <c:yMode val="edge"/>
              <c:x val="3.6740609967324499E-2"/>
              <c:y val="0.171622340913679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9386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Total Phosphorus EGL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40431190562041"/>
          <c:y val="0.12385425780110819"/>
          <c:w val="0.84893148326920065"/>
          <c:h val="0.50384696704578591"/>
        </c:manualLayout>
      </c:layout>
      <c:lineChart>
        <c:grouping val="standard"/>
        <c:varyColors val="0"/>
        <c:ser>
          <c:idx val="0"/>
          <c:order val="0"/>
          <c:tx>
            <c:strRef>
              <c:f>'EGL Summary'!$A$4:$A$6</c:f>
              <c:strCache>
                <c:ptCount val="1"/>
                <c:pt idx="0">
                  <c:v>EGL 4a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'EGL Summary'!$C$15:$H$15</c:f>
              <c:numCache>
                <c:formatCode>m/d/yyyy</c:formatCode>
                <c:ptCount val="6"/>
                <c:pt idx="0">
                  <c:v>43602</c:v>
                </c:pt>
                <c:pt idx="1">
                  <c:v>43628</c:v>
                </c:pt>
                <c:pt idx="2">
                  <c:v>43655</c:v>
                </c:pt>
                <c:pt idx="3">
                  <c:v>43691</c:v>
                </c:pt>
                <c:pt idx="4">
                  <c:v>43719</c:v>
                </c:pt>
                <c:pt idx="5">
                  <c:v>43747</c:v>
                </c:pt>
              </c:numCache>
            </c:numRef>
          </c:cat>
          <c:val>
            <c:numRef>
              <c:f>'EGL Summary'!$C$5:$H$5</c:f>
              <c:numCache>
                <c:formatCode>0</c:formatCode>
                <c:ptCount val="6"/>
                <c:pt idx="0">
                  <c:v>12</c:v>
                </c:pt>
                <c:pt idx="1">
                  <c:v>16</c:v>
                </c:pt>
                <c:pt idx="2">
                  <c:v>12</c:v>
                </c:pt>
                <c:pt idx="3">
                  <c:v>18</c:v>
                </c:pt>
                <c:pt idx="4">
                  <c:v>11</c:v>
                </c:pt>
                <c:pt idx="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F-499C-B9E9-D36542B09123}"/>
            </c:ext>
          </c:extLst>
        </c:ser>
        <c:ser>
          <c:idx val="1"/>
          <c:order val="1"/>
          <c:tx>
            <c:strRef>
              <c:f>'EGL Summary'!$A$7:$A$8</c:f>
              <c:strCache>
                <c:ptCount val="1"/>
                <c:pt idx="0">
                  <c:v>EGL 4e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'EGL Summary'!$C$15:$H$15</c:f>
              <c:numCache>
                <c:formatCode>m/d/yyyy</c:formatCode>
                <c:ptCount val="6"/>
                <c:pt idx="0">
                  <c:v>43602</c:v>
                </c:pt>
                <c:pt idx="1">
                  <c:v>43628</c:v>
                </c:pt>
                <c:pt idx="2">
                  <c:v>43655</c:v>
                </c:pt>
                <c:pt idx="3">
                  <c:v>43691</c:v>
                </c:pt>
                <c:pt idx="4">
                  <c:v>43719</c:v>
                </c:pt>
                <c:pt idx="5">
                  <c:v>43747</c:v>
                </c:pt>
              </c:numCache>
            </c:numRef>
          </c:cat>
          <c:val>
            <c:numRef>
              <c:f>'EGL Summary'!$C$8:$H$8</c:f>
              <c:numCache>
                <c:formatCode>0</c:formatCode>
                <c:ptCount val="6"/>
                <c:pt idx="0">
                  <c:v>23</c:v>
                </c:pt>
                <c:pt idx="1">
                  <c:v>24</c:v>
                </c:pt>
                <c:pt idx="2">
                  <c:v>28</c:v>
                </c:pt>
                <c:pt idx="3">
                  <c:v>52</c:v>
                </c:pt>
                <c:pt idx="4">
                  <c:v>38</c:v>
                </c:pt>
                <c:pt idx="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F-499C-B9E9-D36542B09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037632"/>
        <c:axId val="84039168"/>
      </c:lineChart>
      <c:dateAx>
        <c:axId val="84037632"/>
        <c:scaling>
          <c:orientation val="minMax"/>
        </c:scaling>
        <c:delete val="0"/>
        <c:axPos val="b"/>
        <c:numFmt formatCode="[$-409]mmm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39168"/>
        <c:crosses val="autoZero"/>
        <c:auto val="1"/>
        <c:lblOffset val="100"/>
        <c:baseTimeUnit val="days"/>
        <c:majorUnit val="1"/>
        <c:majorTimeUnit val="months"/>
      </c:dateAx>
      <c:valAx>
        <c:axId val="8403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Phosphorus ug/l</a:t>
                </a:r>
              </a:p>
            </c:rich>
          </c:tx>
          <c:layout>
            <c:manualLayout>
              <c:xMode val="edge"/>
              <c:yMode val="edge"/>
              <c:x val="1.6185929345039773E-2"/>
              <c:y val="0.182212786781944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376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EGL Total Nitrogen Loading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'EGL Summary'!$B$10</c:f>
              <c:strCache>
                <c:ptCount val="1"/>
                <c:pt idx="0">
                  <c:v>Total Nitrogen, Pounds/month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'EGL Summary'!$C$13:$H$13</c:f>
              <c:strCache>
                <c:ptCount val="6"/>
                <c:pt idx="0">
                  <c:v>May</c:v>
                </c:pt>
                <c:pt idx="1">
                  <c:v>Jun</c:v>
                </c:pt>
                <c:pt idx="2">
                  <c:v>Jul</c:v>
                </c:pt>
                <c:pt idx="3">
                  <c:v>Aug</c:v>
                </c:pt>
                <c:pt idx="4">
                  <c:v>Sep</c:v>
                </c:pt>
                <c:pt idx="5">
                  <c:v>Oct</c:v>
                </c:pt>
              </c:strCache>
            </c:strRef>
          </c:cat>
          <c:val>
            <c:numRef>
              <c:f>'EGL Summary'!$C$10:$H$10</c:f>
              <c:numCache>
                <c:formatCode>0</c:formatCode>
                <c:ptCount val="6"/>
                <c:pt idx="0">
                  <c:v>32.823042000000001</c:v>
                </c:pt>
                <c:pt idx="1">
                  <c:v>55.592768000000007</c:v>
                </c:pt>
                <c:pt idx="2">
                  <c:v>31.731119000000003</c:v>
                </c:pt>
                <c:pt idx="3">
                  <c:v>18.222316000000003</c:v>
                </c:pt>
                <c:pt idx="4">
                  <c:v>11.959416000000001</c:v>
                </c:pt>
                <c:pt idx="5">
                  <c:v>10.554347999999999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AF2-44FC-A7C8-C5B556BEA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603919880"/>
        <c:axId val="603917256"/>
      </c:barChart>
      <c:catAx>
        <c:axId val="60391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917256"/>
        <c:crosses val="autoZero"/>
        <c:auto val="1"/>
        <c:lblAlgn val="ctr"/>
        <c:lblOffset val="100"/>
        <c:noMultiLvlLbl val="0"/>
      </c:catAx>
      <c:valAx>
        <c:axId val="603917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TN Pounds/Month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919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'EGL Summary'!$B$11</c:f>
              <c:strCache>
                <c:ptCount val="1"/>
                <c:pt idx="0">
                  <c:v>Total Phosphorus, Pounds/month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'EGL Summary'!$C$13:$H$13</c:f>
              <c:strCache>
                <c:ptCount val="6"/>
                <c:pt idx="0">
                  <c:v>May</c:v>
                </c:pt>
                <c:pt idx="1">
                  <c:v>Jun</c:v>
                </c:pt>
                <c:pt idx="2">
                  <c:v>Jul</c:v>
                </c:pt>
                <c:pt idx="3">
                  <c:v>Aug</c:v>
                </c:pt>
                <c:pt idx="4">
                  <c:v>Sep</c:v>
                </c:pt>
                <c:pt idx="5">
                  <c:v>Oct</c:v>
                </c:pt>
              </c:strCache>
            </c:strRef>
          </c:cat>
          <c:val>
            <c:numRef>
              <c:f>'EGL Summary'!$C$11:$H$11</c:f>
              <c:numCache>
                <c:formatCode>0</c:formatCode>
                <c:ptCount val="6"/>
                <c:pt idx="0">
                  <c:v>1.5194340000000002</c:v>
                </c:pt>
                <c:pt idx="1">
                  <c:v>3.2283887999999998</c:v>
                </c:pt>
                <c:pt idx="2">
                  <c:v>2.5291224000000003</c:v>
                </c:pt>
                <c:pt idx="3">
                  <c:v>1.641969</c:v>
                </c:pt>
                <c:pt idx="4">
                  <c:v>0.5571258</c:v>
                </c:pt>
                <c:pt idx="5">
                  <c:v>0.73766070000000006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E0-4C85-A059-8BAE1AB66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352847752"/>
        <c:axId val="352850048"/>
      </c:barChart>
      <c:catAx>
        <c:axId val="352847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850048"/>
        <c:crosses val="autoZero"/>
        <c:auto val="1"/>
        <c:lblAlgn val="ctr"/>
        <c:lblOffset val="100"/>
        <c:noMultiLvlLbl val="0"/>
      </c:catAx>
      <c:valAx>
        <c:axId val="35285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TP Pounds/Month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84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EGL Chlorophyll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'EGL Summary'!$B$6</c:f>
              <c:strCache>
                <c:ptCount val="1"/>
                <c:pt idx="0">
                  <c:v>Chlorophyll a Average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elete val="1"/>
          </c:dLbls>
          <c:cat>
            <c:strRef>
              <c:f>'EGL Summary'!$C$13:$H$13</c:f>
              <c:strCache>
                <c:ptCount val="6"/>
                <c:pt idx="0">
                  <c:v>May</c:v>
                </c:pt>
                <c:pt idx="1">
                  <c:v>Jun</c:v>
                </c:pt>
                <c:pt idx="2">
                  <c:v>Jul</c:v>
                </c:pt>
                <c:pt idx="3">
                  <c:v>Aug</c:v>
                </c:pt>
                <c:pt idx="4">
                  <c:v>Sep</c:v>
                </c:pt>
                <c:pt idx="5">
                  <c:v>Oct</c:v>
                </c:pt>
              </c:strCache>
            </c:strRef>
          </c:cat>
          <c:val>
            <c:numRef>
              <c:f>'EGL Summary'!$C$6:$H$6</c:f>
              <c:numCache>
                <c:formatCode>0.0</c:formatCode>
                <c:ptCount val="6"/>
                <c:pt idx="0">
                  <c:v>4.7</c:v>
                </c:pt>
                <c:pt idx="1">
                  <c:v>1.8</c:v>
                </c:pt>
                <c:pt idx="2">
                  <c:v>2.2999999999999998</c:v>
                </c:pt>
                <c:pt idx="3">
                  <c:v>2.9</c:v>
                </c:pt>
                <c:pt idx="4">
                  <c:v>5.65</c:v>
                </c:pt>
                <c:pt idx="5">
                  <c:v>8.15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F-40E5-BAA7-BDD33D678A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03751616"/>
        <c:axId val="603748664"/>
      </c:barChart>
      <c:catAx>
        <c:axId val="60375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748664"/>
        <c:crosses val="autoZero"/>
        <c:auto val="1"/>
        <c:lblAlgn val="ctr"/>
        <c:lblOffset val="100"/>
        <c:noMultiLvlLbl val="0"/>
      </c:catAx>
      <c:valAx>
        <c:axId val="603748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Chlorophyll ug/l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751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Bear Creek Reservoir - Nitrate Trends </a:t>
            </a:r>
          </a:p>
        </c:rich>
      </c:tx>
      <c:layout>
        <c:manualLayout>
          <c:xMode val="edge"/>
          <c:yMode val="edge"/>
          <c:x val="0.27966607036377805"/>
          <c:y val="4.14312617702448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90173658821803"/>
          <c:y val="0.12994386129463856"/>
          <c:w val="0.83005439230768563"/>
          <c:h val="0.7005669043710945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'Nitrogen Trends'!$E$108</c:f>
              <c:strCache>
                <c:ptCount val="1"/>
                <c:pt idx="0">
                  <c:v>Retained in Reservoir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cat>
            <c:numRef>
              <c:f>'Nitrogen Trends'!$B$109:$B$131</c:f>
              <c:numCache>
                <c:formatCode>General</c:formatCode>
                <c:ptCount val="2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 formatCode="0">
                  <c:v>2013</c:v>
                </c:pt>
              </c:numCache>
            </c:numRef>
          </c:cat>
          <c:val>
            <c:numRef>
              <c:f>'Nitrogen Trends'!$G$108:$G$132</c:f>
              <c:numCache>
                <c:formatCode>0</c:formatCode>
                <c:ptCount val="25"/>
                <c:pt idx="0">
                  <c:v>745</c:v>
                </c:pt>
                <c:pt idx="1">
                  <c:v>1611</c:v>
                </c:pt>
                <c:pt idx="2">
                  <c:v>807.5</c:v>
                </c:pt>
                <c:pt idx="3">
                  <c:v>866.5</c:v>
                </c:pt>
                <c:pt idx="4">
                  <c:v>713</c:v>
                </c:pt>
                <c:pt idx="5">
                  <c:v>413.5</c:v>
                </c:pt>
                <c:pt idx="6">
                  <c:v>88.660937500000045</c:v>
                </c:pt>
                <c:pt idx="7">
                  <c:v>125.5</c:v>
                </c:pt>
                <c:pt idx="8">
                  <c:v>130.5</c:v>
                </c:pt>
                <c:pt idx="9">
                  <c:v>706</c:v>
                </c:pt>
                <c:pt idx="10">
                  <c:v>342</c:v>
                </c:pt>
                <c:pt idx="11">
                  <c:v>2220</c:v>
                </c:pt>
                <c:pt idx="12">
                  <c:v>992.5</c:v>
                </c:pt>
                <c:pt idx="13">
                  <c:v>167.5</c:v>
                </c:pt>
                <c:pt idx="14">
                  <c:v>557.5</c:v>
                </c:pt>
                <c:pt idx="15">
                  <c:v>798.5</c:v>
                </c:pt>
                <c:pt idx="16">
                  <c:v>317.5</c:v>
                </c:pt>
                <c:pt idx="17">
                  <c:v>662</c:v>
                </c:pt>
                <c:pt idx="18">
                  <c:v>390</c:v>
                </c:pt>
                <c:pt idx="19">
                  <c:v>654.5</c:v>
                </c:pt>
                <c:pt idx="20">
                  <c:v>423.5</c:v>
                </c:pt>
                <c:pt idx="21">
                  <c:v>567.5</c:v>
                </c:pt>
                <c:pt idx="22">
                  <c:v>459.5</c:v>
                </c:pt>
                <c:pt idx="23">
                  <c:v>49</c:v>
                </c:pt>
                <c:pt idx="24">
                  <c:v>176.5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8-4CB4-861F-15C7887A3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643648"/>
        <c:axId val="107645568"/>
      </c:barChart>
      <c:lineChart>
        <c:grouping val="standard"/>
        <c:varyColors val="0"/>
        <c:ser>
          <c:idx val="0"/>
          <c:order val="0"/>
          <c:tx>
            <c:strRef>
              <c:f>'Nitrogen Trends'!$A$108</c:f>
              <c:strCache>
                <c:ptCount val="1"/>
                <c:pt idx="0">
                  <c:v>Average Inflow</c:v>
                </c:pt>
              </c:strCache>
            </c:strRef>
          </c:tx>
          <c:spPr>
            <a:ln w="3175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'Nitrogen Trends'!$B$109:$B$133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 formatCode="0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'Nitrogen Trends'!$C$109:$C$133</c:f>
              <c:numCache>
                <c:formatCode>0</c:formatCode>
                <c:ptCount val="25"/>
                <c:pt idx="0">
                  <c:v>1334</c:v>
                </c:pt>
                <c:pt idx="1">
                  <c:v>1936</c:v>
                </c:pt>
                <c:pt idx="2">
                  <c:v>1238.5</c:v>
                </c:pt>
                <c:pt idx="3">
                  <c:v>1217.5</c:v>
                </c:pt>
                <c:pt idx="4">
                  <c:v>1204</c:v>
                </c:pt>
                <c:pt idx="5">
                  <c:v>992.875</c:v>
                </c:pt>
                <c:pt idx="6">
                  <c:v>609.06218750000005</c:v>
                </c:pt>
                <c:pt idx="7">
                  <c:v>530.5</c:v>
                </c:pt>
                <c:pt idx="8">
                  <c:v>356.5</c:v>
                </c:pt>
                <c:pt idx="9">
                  <c:v>1143</c:v>
                </c:pt>
                <c:pt idx="10">
                  <c:v>730</c:v>
                </c:pt>
                <c:pt idx="11">
                  <c:v>2500</c:v>
                </c:pt>
                <c:pt idx="12">
                  <c:v>1260.5</c:v>
                </c:pt>
                <c:pt idx="13">
                  <c:v>414.5</c:v>
                </c:pt>
                <c:pt idx="14">
                  <c:v>790.5</c:v>
                </c:pt>
                <c:pt idx="15">
                  <c:v>994.5</c:v>
                </c:pt>
                <c:pt idx="16">
                  <c:v>578.5</c:v>
                </c:pt>
                <c:pt idx="17">
                  <c:v>882</c:v>
                </c:pt>
                <c:pt idx="18">
                  <c:v>670</c:v>
                </c:pt>
                <c:pt idx="19">
                  <c:v>932.5</c:v>
                </c:pt>
                <c:pt idx="20">
                  <c:v>596.5</c:v>
                </c:pt>
                <c:pt idx="21">
                  <c:v>734.5</c:v>
                </c:pt>
                <c:pt idx="22">
                  <c:v>621.5</c:v>
                </c:pt>
                <c:pt idx="23">
                  <c:v>351</c:v>
                </c:pt>
                <c:pt idx="24">
                  <c:v>582.5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48-4CB4-861F-15C7887A3AC4}"/>
            </c:ext>
          </c:extLst>
        </c:ser>
        <c:ser>
          <c:idx val="1"/>
          <c:order val="1"/>
          <c:tx>
            <c:strRef>
              <c:f>'Nitrogen Trends'!$E$80</c:f>
              <c:strCache>
                <c:ptCount val="1"/>
                <c:pt idx="0">
                  <c:v>Reservoir Outflow</c:v>
                </c:pt>
              </c:strCache>
            </c:strRef>
          </c:tx>
          <c:spPr>
            <a:ln w="28575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'Nitrogen Trends'!$B$109:$B$133</c:f>
              <c:numCache>
                <c:formatCode>General</c:formatCode>
                <c:ptCount val="25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 formatCode="0">
                  <c:v>2013</c:v>
                </c:pt>
                <c:pt idx="23">
                  <c:v>2014</c:v>
                </c:pt>
                <c:pt idx="24">
                  <c:v>2015</c:v>
                </c:pt>
              </c:numCache>
            </c:numRef>
          </c:cat>
          <c:val>
            <c:numRef>
              <c:f>'Nitrogen Trends'!$G$80:$G$104</c:f>
              <c:numCache>
                <c:formatCode>0</c:formatCode>
                <c:ptCount val="25"/>
                <c:pt idx="0">
                  <c:v>589</c:v>
                </c:pt>
                <c:pt idx="1">
                  <c:v>325</c:v>
                </c:pt>
                <c:pt idx="2">
                  <c:v>431</c:v>
                </c:pt>
                <c:pt idx="3">
                  <c:v>351</c:v>
                </c:pt>
                <c:pt idx="4">
                  <c:v>491</c:v>
                </c:pt>
                <c:pt idx="5">
                  <c:v>579.375</c:v>
                </c:pt>
                <c:pt idx="6">
                  <c:v>520.40125</c:v>
                </c:pt>
                <c:pt idx="7">
                  <c:v>405</c:v>
                </c:pt>
                <c:pt idx="8">
                  <c:v>226</c:v>
                </c:pt>
                <c:pt idx="9">
                  <c:v>437</c:v>
                </c:pt>
                <c:pt idx="10">
                  <c:v>388</c:v>
                </c:pt>
                <c:pt idx="11">
                  <c:v>280</c:v>
                </c:pt>
                <c:pt idx="12">
                  <c:v>268</c:v>
                </c:pt>
                <c:pt idx="13">
                  <c:v>247</c:v>
                </c:pt>
                <c:pt idx="14">
                  <c:v>233</c:v>
                </c:pt>
                <c:pt idx="15">
                  <c:v>196</c:v>
                </c:pt>
                <c:pt idx="16">
                  <c:v>261</c:v>
                </c:pt>
                <c:pt idx="17">
                  <c:v>220</c:v>
                </c:pt>
                <c:pt idx="18">
                  <c:v>280</c:v>
                </c:pt>
                <c:pt idx="19">
                  <c:v>278</c:v>
                </c:pt>
                <c:pt idx="20">
                  <c:v>173</c:v>
                </c:pt>
                <c:pt idx="21">
                  <c:v>167</c:v>
                </c:pt>
                <c:pt idx="22">
                  <c:v>162</c:v>
                </c:pt>
                <c:pt idx="23">
                  <c:v>302</c:v>
                </c:pt>
                <c:pt idx="24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48-4CB4-861F-15C7887A3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43648"/>
        <c:axId val="107645568"/>
      </c:lineChart>
      <c:catAx>
        <c:axId val="10764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645568"/>
        <c:crossesAt val="-500"/>
        <c:auto val="1"/>
        <c:lblAlgn val="ctr"/>
        <c:lblOffset val="100"/>
        <c:tickLblSkip val="1"/>
        <c:tickMarkSkip val="1"/>
        <c:noMultiLvlLbl val="0"/>
      </c:catAx>
      <c:valAx>
        <c:axId val="10764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Nitrate (ug/l)</a:t>
                </a:r>
              </a:p>
            </c:rich>
          </c:tx>
          <c:layout>
            <c:manualLayout>
              <c:xMode val="edge"/>
              <c:yMode val="edge"/>
              <c:x val="3.7567084078711989E-2"/>
              <c:y val="0.36440766938037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643648"/>
        <c:crosses val="autoZero"/>
        <c:crossBetween val="between"/>
      </c:valAx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171990752813751"/>
          <c:y val="0.15840055231720326"/>
          <c:w val="0.24645509377553856"/>
          <c:h val="0.14044268989539327"/>
        </c:manualLayout>
      </c:layout>
      <c:overlay val="0"/>
      <c:spPr>
        <a:gradFill>
          <a:gsLst>
            <a:gs pos="0">
              <a:srgbClr val="4F81BD">
                <a:tint val="66000"/>
                <a:satMod val="160000"/>
              </a:srgb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  <a:alpha val="51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 horizontalDpi="-2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Phytoplankton Averge Density #/ml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'EGL Summary'!$D$101:$E$101</c:f>
              <c:strCache>
                <c:ptCount val="2"/>
                <c:pt idx="0">
                  <c:v>Total Density (#/mL): </c:v>
                </c:pt>
              </c:strCache>
            </c:strRef>
          </c:tx>
          <c:explosion val="2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2-8D75-46A6-B8C9-7715E934938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8D75-46A6-B8C9-7715E934938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30E3-465D-AEFE-8989385C82C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01C7-41D9-980C-ECDFC1BA5B95}"/>
              </c:ext>
            </c:extLst>
          </c:dPt>
          <c:cat>
            <c:numRef>
              <c:f>'EGL Summary'!$F$100:$H$100</c:f>
              <c:numCache>
                <c:formatCode>d\-mmm\-yy</c:formatCode>
                <c:ptCount val="3"/>
                <c:pt idx="0">
                  <c:v>43656</c:v>
                </c:pt>
                <c:pt idx="1">
                  <c:v>43691</c:v>
                </c:pt>
                <c:pt idx="2">
                  <c:v>43719</c:v>
                </c:pt>
              </c:numCache>
            </c:numRef>
          </c:cat>
          <c:val>
            <c:numRef>
              <c:f>'EGL Summary'!$F$101:$H$101</c:f>
              <c:numCache>
                <c:formatCode>#,##0</c:formatCode>
                <c:ptCount val="3"/>
                <c:pt idx="0">
                  <c:v>782.56401617250469</c:v>
                </c:pt>
                <c:pt idx="1">
                  <c:v>599.15458937197911</c:v>
                </c:pt>
                <c:pt idx="2">
                  <c:v>1440.6944444444321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75-46A6-B8C9-7715E9349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Phosphorus (mgP/kg Wet Mud)</a:t>
            </a:r>
          </a:p>
        </c:rich>
      </c:tx>
      <c:layout>
        <c:manualLayout>
          <c:xMode val="edge"/>
          <c:yMode val="edge"/>
          <c:x val="0.31973350253807103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286892251173991E-2"/>
          <c:y val="0.16967390367262486"/>
          <c:w val="0.88525603762616922"/>
          <c:h val="0.61939084142766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'2019 Sediment'!$AL$49:$AL$49</c:f>
              <c:strCache>
                <c:ptCount val="1"/>
                <c:pt idx="0">
                  <c:v>2010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Sediment'!$AK$50:$AK$57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Sediment'!$AL$50:$AL$56</c:f>
              <c:numCache>
                <c:formatCode>0.00</c:formatCode>
                <c:ptCount val="7"/>
                <c:pt idx="0">
                  <c:v>4.1211823868514657</c:v>
                </c:pt>
                <c:pt idx="1">
                  <c:v>3.5015041672831289</c:v>
                </c:pt>
                <c:pt idx="2">
                  <c:v>7.4663283232480975</c:v>
                </c:pt>
                <c:pt idx="3">
                  <c:v>3.1283605435526449</c:v>
                </c:pt>
                <c:pt idx="4">
                  <c:v>7.3158675234799802</c:v>
                </c:pt>
                <c:pt idx="5">
                  <c:v>5.761255556383321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B6-499C-9A87-95D1AD1DA80D}"/>
            </c:ext>
          </c:extLst>
        </c:ser>
        <c:ser>
          <c:idx val="1"/>
          <c:order val="1"/>
          <c:tx>
            <c:strRef>
              <c:f>'2019 Sediment'!$AM$49:$AM$49</c:f>
              <c:strCache>
                <c:ptCount val="1"/>
                <c:pt idx="0">
                  <c:v>2011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Sediment'!$AK$50:$AK$57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Sediment'!$AM$50:$AM$56</c:f>
              <c:numCache>
                <c:formatCode>0.00</c:formatCode>
                <c:ptCount val="7"/>
                <c:pt idx="0">
                  <c:v>6.1080592218524057</c:v>
                </c:pt>
                <c:pt idx="1">
                  <c:v>5.2067836979534228</c:v>
                </c:pt>
                <c:pt idx="2">
                  <c:v>3.3936332651670083</c:v>
                </c:pt>
                <c:pt idx="3">
                  <c:v>2.2027169018312818</c:v>
                </c:pt>
                <c:pt idx="4">
                  <c:v>8.1071638861629065</c:v>
                </c:pt>
                <c:pt idx="5">
                  <c:v>1.9119371482176362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B6-499C-9A87-95D1AD1DA80D}"/>
            </c:ext>
          </c:extLst>
        </c:ser>
        <c:ser>
          <c:idx val="2"/>
          <c:order val="2"/>
          <c:tx>
            <c:strRef>
              <c:f>'2019 Sediment'!$AN$49:$AN$49</c:f>
              <c:strCache>
                <c:ptCount val="1"/>
                <c:pt idx="0">
                  <c:v>2012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Sediment'!$AK$50:$AK$57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Sediment'!$AN$50:$AN$56</c:f>
              <c:numCache>
                <c:formatCode>0.00</c:formatCode>
                <c:ptCount val="7"/>
                <c:pt idx="0">
                  <c:v>3.0610045268376802</c:v>
                </c:pt>
                <c:pt idx="1">
                  <c:v>4.3813192103996146</c:v>
                </c:pt>
                <c:pt idx="2">
                  <c:v>4.8877805486284291</c:v>
                </c:pt>
                <c:pt idx="3">
                  <c:v>3.1931106219308645</c:v>
                </c:pt>
                <c:pt idx="4">
                  <c:v>3.88</c:v>
                </c:pt>
                <c:pt idx="5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B6-499C-9A87-95D1AD1DA80D}"/>
            </c:ext>
          </c:extLst>
        </c:ser>
        <c:ser>
          <c:idx val="3"/>
          <c:order val="3"/>
          <c:tx>
            <c:strRef>
              <c:f>'2019 Sediment'!$AO$49:$AO$49</c:f>
              <c:strCache>
                <c:ptCount val="1"/>
                <c:pt idx="0">
                  <c:v>2014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Sediment'!$AK$50:$AK$57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Sediment'!$AO$50:$AO$56</c:f>
              <c:numCache>
                <c:formatCode>0.00</c:formatCode>
                <c:ptCount val="7"/>
                <c:pt idx="0">
                  <c:v>4.4800000000000004</c:v>
                </c:pt>
                <c:pt idx="1">
                  <c:v>3.06</c:v>
                </c:pt>
                <c:pt idx="2">
                  <c:v>8.07</c:v>
                </c:pt>
                <c:pt idx="3">
                  <c:v>5.69</c:v>
                </c:pt>
                <c:pt idx="4">
                  <c:v>3.79</c:v>
                </c:pt>
                <c:pt idx="5">
                  <c:v>4.8499999999999996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B6-499C-9A87-95D1AD1DA80D}"/>
            </c:ext>
          </c:extLst>
        </c:ser>
        <c:ser>
          <c:idx val="4"/>
          <c:order val="4"/>
          <c:tx>
            <c:strRef>
              <c:f>'2019 Sediment'!$AP$49:$AP$49</c:f>
              <c:strCache>
                <c:ptCount val="1"/>
                <c:pt idx="0">
                  <c:v>2015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Sediment'!$AK$50:$AK$57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Sediment'!$AP$50:$AP$56</c:f>
              <c:numCache>
                <c:formatCode>#,##0.00</c:formatCode>
                <c:ptCount val="7"/>
                <c:pt idx="0">
                  <c:v>8.73</c:v>
                </c:pt>
                <c:pt idx="1">
                  <c:v>8.43</c:v>
                </c:pt>
                <c:pt idx="2">
                  <c:v>1.89</c:v>
                </c:pt>
                <c:pt idx="3">
                  <c:v>1.42</c:v>
                </c:pt>
                <c:pt idx="4">
                  <c:v>0.88</c:v>
                </c:pt>
                <c:pt idx="5">
                  <c:v>7.25</c:v>
                </c:pt>
                <c:pt idx="6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B6-499C-9A87-95D1AD1DA80D}"/>
            </c:ext>
          </c:extLst>
        </c:ser>
        <c:ser>
          <c:idx val="5"/>
          <c:order val="5"/>
          <c:tx>
            <c:strRef>
              <c:f>'2019 Sediment'!$AQ$28</c:f>
              <c:strCache>
                <c:ptCount val="1"/>
                <c:pt idx="0">
                  <c:v>2016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Sediment'!$AK$50:$AK$57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Sediment'!$AQ$29:$AQ$34</c:f>
              <c:numCache>
                <c:formatCode>#,##0.00</c:formatCode>
                <c:ptCount val="6"/>
                <c:pt idx="0">
                  <c:v>0.65</c:v>
                </c:pt>
                <c:pt idx="1">
                  <c:v>0.47</c:v>
                </c:pt>
                <c:pt idx="2">
                  <c:v>1.2</c:v>
                </c:pt>
                <c:pt idx="3">
                  <c:v>3.97</c:v>
                </c:pt>
                <c:pt idx="4">
                  <c:v>0.85</c:v>
                </c:pt>
                <c:pt idx="5">
                  <c:v>3.64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1-4BC8-A325-CFD02A4885A0}"/>
            </c:ext>
          </c:extLst>
        </c:ser>
        <c:ser>
          <c:idx val="6"/>
          <c:order val="6"/>
          <c:tx>
            <c:strRef>
              <c:f>'2019 Sediment'!$AR$49</c:f>
              <c:strCache>
                <c:ptCount val="1"/>
                <c:pt idx="0">
                  <c:v>2017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hade val="51000"/>
                    <a:satMod val="130000"/>
                  </a:schemeClr>
                </a:gs>
                <a:gs pos="80000">
                  <a:schemeClr val="accent1">
                    <a:lumMod val="60000"/>
                    <a:shade val="93000"/>
                    <a:satMod val="130000"/>
                  </a:schemeClr>
                </a:gs>
                <a:gs pos="100000">
                  <a:schemeClr val="accent1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Sediment'!$AK$50:$AK$57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Sediment'!$AR$50:$AR$55</c:f>
              <c:numCache>
                <c:formatCode>#,##0.00</c:formatCode>
                <c:ptCount val="6"/>
                <c:pt idx="0">
                  <c:v>11.817953231078702</c:v>
                </c:pt>
                <c:pt idx="1">
                  <c:v>5.2066231999624746</c:v>
                </c:pt>
                <c:pt idx="2">
                  <c:v>3.8605494220945817</c:v>
                </c:pt>
                <c:pt idx="3">
                  <c:v>5.325566881630956</c:v>
                </c:pt>
                <c:pt idx="4">
                  <c:v>4.1994750656167952</c:v>
                </c:pt>
                <c:pt idx="5">
                  <c:v>4.5097029632654513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6-4AEA-89B5-ECFDD077EEC5}"/>
            </c:ext>
          </c:extLst>
        </c:ser>
        <c:ser>
          <c:idx val="7"/>
          <c:order val="7"/>
          <c:tx>
            <c:strRef>
              <c:f>'2019 Sediment'!$AS$49</c:f>
              <c:strCache>
                <c:ptCount val="1"/>
                <c:pt idx="0">
                  <c:v>2018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shade val="51000"/>
                    <a:satMod val="130000"/>
                  </a:schemeClr>
                </a:gs>
                <a:gs pos="80000">
                  <a:schemeClr val="accent2">
                    <a:lumMod val="60000"/>
                    <a:shade val="93000"/>
                    <a:satMod val="130000"/>
                  </a:schemeClr>
                </a:gs>
                <a:gs pos="100000">
                  <a:schemeClr val="accent2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Sediment'!$AK$50:$AK$57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Sediment'!$AS$50:$AS$56</c:f>
              <c:numCache>
                <c:formatCode>#,##0.00</c:formatCode>
                <c:ptCount val="7"/>
                <c:pt idx="0">
                  <c:v>3.5425970456887672</c:v>
                </c:pt>
                <c:pt idx="1">
                  <c:v>19.465322471758409</c:v>
                </c:pt>
                <c:pt idx="2">
                  <c:v>1.4721869903968117</c:v>
                </c:pt>
                <c:pt idx="3">
                  <c:v>3.6284470246734388</c:v>
                </c:pt>
                <c:pt idx="4">
                  <c:v>2.2196385160131071</c:v>
                </c:pt>
                <c:pt idx="5">
                  <c:v>6.916307236526813</c:v>
                </c:pt>
                <c:pt idx="6">
                  <c:v>4.4374808257001384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D-4FE5-8942-DD88F4B93D78}"/>
            </c:ext>
          </c:extLst>
        </c:ser>
        <c:ser>
          <c:idx val="8"/>
          <c:order val="8"/>
          <c:tx>
            <c:strRef>
              <c:f>'2019 Sediment'!$AT$49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hade val="51000"/>
                    <a:satMod val="130000"/>
                  </a:schemeClr>
                </a:gs>
                <a:gs pos="80000">
                  <a:schemeClr val="accent3">
                    <a:lumMod val="60000"/>
                    <a:shade val="93000"/>
                    <a:satMod val="130000"/>
                  </a:schemeClr>
                </a:gs>
                <a:gs pos="100000">
                  <a:schemeClr val="accent3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Sediment'!$AK$50:$AK$57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Sediment'!$AT$50:$AT$57</c:f>
              <c:numCache>
                <c:formatCode>#,##0.00</c:formatCode>
                <c:ptCount val="8"/>
                <c:pt idx="0">
                  <c:v>8.7119918004783088</c:v>
                </c:pt>
                <c:pt idx="1">
                  <c:v>4.4132184719672374</c:v>
                </c:pt>
                <c:pt idx="2">
                  <c:v>3.51990265948201</c:v>
                </c:pt>
                <c:pt idx="3">
                  <c:v>6.6494845360824728</c:v>
                </c:pt>
                <c:pt idx="4">
                  <c:v>4.461433386943976</c:v>
                </c:pt>
                <c:pt idx="5">
                  <c:v>5.5169273341856826</c:v>
                </c:pt>
                <c:pt idx="6">
                  <c:v>4.3693562481794332</c:v>
                </c:pt>
                <c:pt idx="7">
                  <c:v>2.7302873255098192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DD-4FE5-8942-DD88F4B93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4212352"/>
        <c:axId val="84234624"/>
      </c:barChart>
      <c:catAx>
        <c:axId val="84212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34624"/>
        <c:crosses val="autoZero"/>
        <c:auto val="1"/>
        <c:lblAlgn val="ctr"/>
        <c:lblOffset val="100"/>
        <c:noMultiLvlLbl val="0"/>
      </c:catAx>
      <c:valAx>
        <c:axId val="84234624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12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% Total Organic Carbon (TOC)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'2019 Sediment'!$AK$38</c:f>
              <c:strCache>
                <c:ptCount val="1"/>
                <c:pt idx="0">
                  <c:v>2010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Sediment'!$AJ$39:$AJ$46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Sediment'!$AK$39:$AK$44</c:f>
              <c:numCache>
                <c:formatCode>0%</c:formatCode>
                <c:ptCount val="6"/>
                <c:pt idx="0">
                  <c:v>0.107</c:v>
                </c:pt>
                <c:pt idx="1">
                  <c:v>0.1</c:v>
                </c:pt>
                <c:pt idx="2">
                  <c:v>0.11</c:v>
                </c:pt>
                <c:pt idx="3">
                  <c:v>0.128</c:v>
                </c:pt>
                <c:pt idx="4">
                  <c:v>0.11899999999999999</c:v>
                </c:pt>
                <c:pt idx="5">
                  <c:v>0.104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7-4F6A-AE46-D28D525F2C89}"/>
            </c:ext>
          </c:extLst>
        </c:ser>
        <c:ser>
          <c:idx val="1"/>
          <c:order val="1"/>
          <c:tx>
            <c:strRef>
              <c:f>'2019 Sediment'!$AL$38</c:f>
              <c:strCache>
                <c:ptCount val="1"/>
                <c:pt idx="0">
                  <c:v>2011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Sediment'!$AJ$39:$AJ$46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Sediment'!$AL$39:$AL$44</c:f>
              <c:numCache>
                <c:formatCode>0%</c:formatCode>
                <c:ptCount val="6"/>
                <c:pt idx="0">
                  <c:v>0.107</c:v>
                </c:pt>
                <c:pt idx="1">
                  <c:v>3.5999999999999997E-2</c:v>
                </c:pt>
                <c:pt idx="2">
                  <c:v>0.11799999999999999</c:v>
                </c:pt>
                <c:pt idx="3">
                  <c:v>0.104</c:v>
                </c:pt>
                <c:pt idx="4">
                  <c:v>0.109</c:v>
                </c:pt>
                <c:pt idx="5">
                  <c:v>0.107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F7-4F6A-AE46-D28D525F2C89}"/>
            </c:ext>
          </c:extLst>
        </c:ser>
        <c:ser>
          <c:idx val="2"/>
          <c:order val="2"/>
          <c:tx>
            <c:strRef>
              <c:f>'2019 Sediment'!$AM$38</c:f>
              <c:strCache>
                <c:ptCount val="1"/>
                <c:pt idx="0">
                  <c:v>2012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Sediment'!$AJ$39:$AJ$46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Sediment'!$AM$39:$AM$44</c:f>
              <c:numCache>
                <c:formatCode>0%</c:formatCode>
                <c:ptCount val="6"/>
                <c:pt idx="0">
                  <c:v>9.4E-2</c:v>
                </c:pt>
                <c:pt idx="1">
                  <c:v>0.105</c:v>
                </c:pt>
                <c:pt idx="2">
                  <c:v>0.13200000000000001</c:v>
                </c:pt>
                <c:pt idx="3">
                  <c:v>0.109</c:v>
                </c:pt>
                <c:pt idx="4">
                  <c:v>0.10299999999999999</c:v>
                </c:pt>
                <c:pt idx="5">
                  <c:v>0.129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F7-4F6A-AE46-D28D525F2C89}"/>
            </c:ext>
          </c:extLst>
        </c:ser>
        <c:ser>
          <c:idx val="3"/>
          <c:order val="3"/>
          <c:tx>
            <c:strRef>
              <c:f>'2019 Sediment'!$AN$38</c:f>
              <c:strCache>
                <c:ptCount val="1"/>
                <c:pt idx="0">
                  <c:v>2014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Sediment'!$AJ$39:$AJ$46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Sediment'!$AN$39:$AN$44</c:f>
              <c:numCache>
                <c:formatCode>0.0%</c:formatCode>
                <c:ptCount val="6"/>
                <c:pt idx="0">
                  <c:v>0.1014961938927289</c:v>
                </c:pt>
                <c:pt idx="1">
                  <c:v>9.451671332125966E-2</c:v>
                </c:pt>
                <c:pt idx="2">
                  <c:v>0.10307328605201516</c:v>
                </c:pt>
                <c:pt idx="3">
                  <c:v>0.11220741807706158</c:v>
                </c:pt>
                <c:pt idx="4">
                  <c:v>9.8831834607947311E-2</c:v>
                </c:pt>
                <c:pt idx="5">
                  <c:v>0.10322069693769864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F7-4F6A-AE46-D28D525F2C89}"/>
            </c:ext>
          </c:extLst>
        </c:ser>
        <c:ser>
          <c:idx val="4"/>
          <c:order val="4"/>
          <c:tx>
            <c:strRef>
              <c:f>'2019 Sediment'!$AO$38</c:f>
              <c:strCache>
                <c:ptCount val="1"/>
                <c:pt idx="0">
                  <c:v>2015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Sediment'!$AJ$39:$AJ$46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Sediment'!$AO$39:$AO$45</c:f>
              <c:numCache>
                <c:formatCode>0.0%</c:formatCode>
                <c:ptCount val="7"/>
                <c:pt idx="0">
                  <c:v>9.5000000000000001E-2</c:v>
                </c:pt>
                <c:pt idx="1">
                  <c:v>0.122</c:v>
                </c:pt>
                <c:pt idx="2">
                  <c:v>0.122</c:v>
                </c:pt>
                <c:pt idx="3">
                  <c:v>0.10100000000000001</c:v>
                </c:pt>
                <c:pt idx="4">
                  <c:v>1.7999999999999999E-2</c:v>
                </c:pt>
                <c:pt idx="5">
                  <c:v>9.1999999999999998E-2</c:v>
                </c:pt>
                <c:pt idx="6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F7-4F6A-AE46-D28D525F2C89}"/>
            </c:ext>
          </c:extLst>
        </c:ser>
        <c:ser>
          <c:idx val="5"/>
          <c:order val="5"/>
          <c:tx>
            <c:strRef>
              <c:f>'2019 Sediment'!$AP$38</c:f>
              <c:strCache>
                <c:ptCount val="1"/>
                <c:pt idx="0">
                  <c:v>2016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hade val="51000"/>
                    <a:satMod val="130000"/>
                  </a:schemeClr>
                </a:gs>
                <a:gs pos="80000">
                  <a:schemeClr val="accent6">
                    <a:shade val="93000"/>
                    <a:satMod val="130000"/>
                  </a:schemeClr>
                </a:gs>
                <a:gs pos="100000">
                  <a:schemeClr val="accent6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Sediment'!$AJ$39:$AJ$46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Sediment'!$AP$39:$AP$44</c:f>
              <c:numCache>
                <c:formatCode>0.0%</c:formatCode>
                <c:ptCount val="6"/>
                <c:pt idx="0">
                  <c:v>0.11</c:v>
                </c:pt>
                <c:pt idx="1">
                  <c:v>0.11</c:v>
                </c:pt>
                <c:pt idx="2">
                  <c:v>0.1</c:v>
                </c:pt>
                <c:pt idx="3">
                  <c:v>0.09</c:v>
                </c:pt>
                <c:pt idx="4">
                  <c:v>0.11</c:v>
                </c:pt>
                <c:pt idx="5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9-4D3D-929F-842A3E260AE9}"/>
            </c:ext>
          </c:extLst>
        </c:ser>
        <c:ser>
          <c:idx val="6"/>
          <c:order val="6"/>
          <c:tx>
            <c:strRef>
              <c:f>'2019 Sediment'!$AQ$38</c:f>
              <c:strCache>
                <c:ptCount val="1"/>
                <c:pt idx="0">
                  <c:v>2017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hade val="51000"/>
                    <a:satMod val="130000"/>
                  </a:schemeClr>
                </a:gs>
                <a:gs pos="80000">
                  <a:schemeClr val="accent1">
                    <a:lumMod val="60000"/>
                    <a:shade val="93000"/>
                    <a:satMod val="130000"/>
                  </a:schemeClr>
                </a:gs>
                <a:gs pos="100000">
                  <a:schemeClr val="accent1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Sediment'!$AJ$39:$AJ$46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Sediment'!$AQ$39:$AQ$44</c:f>
              <c:numCache>
                <c:formatCode>0.0%</c:formatCode>
                <c:ptCount val="6"/>
                <c:pt idx="0">
                  <c:v>9.2390822924966587E-2</c:v>
                </c:pt>
                <c:pt idx="1">
                  <c:v>0.11189593677879306</c:v>
                </c:pt>
                <c:pt idx="2">
                  <c:v>8.3871415677290839E-2</c:v>
                </c:pt>
                <c:pt idx="3">
                  <c:v>0.10041407867495833</c:v>
                </c:pt>
                <c:pt idx="4">
                  <c:v>8.3990450698104513E-2</c:v>
                </c:pt>
                <c:pt idx="5">
                  <c:v>9.6026760218649643E-2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5-4B4A-9D4D-7A9FD55CE49E}"/>
            </c:ext>
          </c:extLst>
        </c:ser>
        <c:ser>
          <c:idx val="7"/>
          <c:order val="7"/>
          <c:tx>
            <c:strRef>
              <c:f>'2019 Sediment'!$AR$38</c:f>
              <c:strCache>
                <c:ptCount val="1"/>
                <c:pt idx="0">
                  <c:v>2018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shade val="51000"/>
                    <a:satMod val="130000"/>
                  </a:schemeClr>
                </a:gs>
                <a:gs pos="80000">
                  <a:schemeClr val="accent2">
                    <a:lumMod val="60000"/>
                    <a:shade val="93000"/>
                    <a:satMod val="130000"/>
                  </a:schemeClr>
                </a:gs>
                <a:gs pos="100000">
                  <a:schemeClr val="accent2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Sediment'!$AJ$39:$AJ$46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Sediment'!$AR$39:$AR$45</c:f>
              <c:numCache>
                <c:formatCode>0.0%</c:formatCode>
                <c:ptCount val="7"/>
                <c:pt idx="0">
                  <c:v>0.11542036332910421</c:v>
                </c:pt>
                <c:pt idx="1">
                  <c:v>0.10622309197651691</c:v>
                </c:pt>
                <c:pt idx="2">
                  <c:v>9.404018234002931E-2</c:v>
                </c:pt>
                <c:pt idx="3">
                  <c:v>9.1311781162568106E-2</c:v>
                </c:pt>
                <c:pt idx="4">
                  <c:v>2.5442367289812418E-2</c:v>
                </c:pt>
                <c:pt idx="5">
                  <c:v>0.1060807118882211</c:v>
                </c:pt>
                <c:pt idx="6">
                  <c:v>0.14531561461793818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3-4D5F-82FC-C7D2C716A866}"/>
            </c:ext>
          </c:extLst>
        </c:ser>
        <c:ser>
          <c:idx val="8"/>
          <c:order val="8"/>
          <c:tx>
            <c:strRef>
              <c:f>'2019 Sediment'!$AS$38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hade val="51000"/>
                    <a:satMod val="130000"/>
                  </a:schemeClr>
                </a:gs>
                <a:gs pos="80000">
                  <a:schemeClr val="accent3">
                    <a:lumMod val="60000"/>
                    <a:shade val="93000"/>
                    <a:satMod val="130000"/>
                  </a:schemeClr>
                </a:gs>
                <a:gs pos="100000">
                  <a:schemeClr val="accent3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Sediment'!$AJ$39:$AJ$46</c:f>
              <c:strCache>
                <c:ptCount val="8"/>
                <c:pt idx="0">
                  <c:v>SedBC03</c:v>
                </c:pt>
                <c:pt idx="1">
                  <c:v>SedBC05</c:v>
                </c:pt>
                <c:pt idx="2">
                  <c:v>SedPel08</c:v>
                </c:pt>
                <c:pt idx="3">
                  <c:v>SedPel10</c:v>
                </c:pt>
                <c:pt idx="4">
                  <c:v>SedTC14</c:v>
                </c:pt>
                <c:pt idx="5">
                  <c:v>SedTC16</c:v>
                </c:pt>
                <c:pt idx="6">
                  <c:v>EGL1</c:v>
                </c:pt>
                <c:pt idx="7">
                  <c:v>EGL2</c:v>
                </c:pt>
              </c:strCache>
            </c:strRef>
          </c:cat>
          <c:val>
            <c:numRef>
              <c:f>'2019 Sediment'!$AS$39:$AS$46</c:f>
              <c:numCache>
                <c:formatCode>0.0%</c:formatCode>
                <c:ptCount val="8"/>
                <c:pt idx="0">
                  <c:v>0.20241961158866673</c:v>
                </c:pt>
                <c:pt idx="1">
                  <c:v>0.11040425189240599</c:v>
                </c:pt>
                <c:pt idx="2">
                  <c:v>0.11289176090468589</c:v>
                </c:pt>
                <c:pt idx="3">
                  <c:v>0.11436275676104268</c:v>
                </c:pt>
                <c:pt idx="4">
                  <c:v>6.9729654013168774E-2</c:v>
                </c:pt>
                <c:pt idx="5">
                  <c:v>0.10602133386501711</c:v>
                </c:pt>
                <c:pt idx="6">
                  <c:v>0.14667670871775496</c:v>
                </c:pt>
                <c:pt idx="7">
                  <c:v>0.11774655217278929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3E-45C6-A36E-F1F375BCC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4249984"/>
        <c:axId val="84259968"/>
      </c:barChart>
      <c:catAx>
        <c:axId val="8424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59968"/>
        <c:crosses val="autoZero"/>
        <c:auto val="1"/>
        <c:lblAlgn val="ctr"/>
        <c:lblOffset val="100"/>
        <c:noMultiLvlLbl val="0"/>
      </c:catAx>
      <c:valAx>
        <c:axId val="8425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4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198158969383842E-2"/>
          <c:y val="5.07380073800738E-2"/>
          <c:w val="0.89475339091339812"/>
          <c:h val="0.7367463753377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'2019 Sediment'!$R$12</c:f>
              <c:strCache>
                <c:ptCount val="1"/>
                <c:pt idx="0">
                  <c:v>Coarse Sand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Sediment'!$Q$13:$Q$19</c:f>
              <c:strCache>
                <c:ptCount val="7"/>
                <c:pt idx="0">
                  <c:v>BC03</c:v>
                </c:pt>
                <c:pt idx="1">
                  <c:v>BC05</c:v>
                </c:pt>
                <c:pt idx="2">
                  <c:v>PEL08</c:v>
                </c:pt>
                <c:pt idx="3">
                  <c:v>PEL10</c:v>
                </c:pt>
                <c:pt idx="4">
                  <c:v>TC14</c:v>
                </c:pt>
                <c:pt idx="5">
                  <c:v>TC16</c:v>
                </c:pt>
                <c:pt idx="6">
                  <c:v>EGL1</c:v>
                </c:pt>
              </c:strCache>
            </c:strRef>
          </c:cat>
          <c:val>
            <c:numRef>
              <c:f>'2019 Sediment'!$R$13:$R$19</c:f>
              <c:numCache>
                <c:formatCode>0%</c:formatCode>
                <c:ptCount val="7"/>
                <c:pt idx="0">
                  <c:v>0.02</c:v>
                </c:pt>
                <c:pt idx="1">
                  <c:v>0.03</c:v>
                </c:pt>
                <c:pt idx="2">
                  <c:v>0.04</c:v>
                </c:pt>
                <c:pt idx="3">
                  <c:v>0.01</c:v>
                </c:pt>
                <c:pt idx="4">
                  <c:v>0.13</c:v>
                </c:pt>
                <c:pt idx="5">
                  <c:v>0.06</c:v>
                </c:pt>
                <c:pt idx="6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E-4E7A-938D-F61A8FDCE781}"/>
            </c:ext>
          </c:extLst>
        </c:ser>
        <c:ser>
          <c:idx val="1"/>
          <c:order val="1"/>
          <c:tx>
            <c:strRef>
              <c:f>'2019 Sediment'!$S$12</c:f>
              <c:strCache>
                <c:ptCount val="1"/>
                <c:pt idx="0">
                  <c:v>M Sand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Sediment'!$Q$13:$Q$19</c:f>
              <c:strCache>
                <c:ptCount val="7"/>
                <c:pt idx="0">
                  <c:v>BC03</c:v>
                </c:pt>
                <c:pt idx="1">
                  <c:v>BC05</c:v>
                </c:pt>
                <c:pt idx="2">
                  <c:v>PEL08</c:v>
                </c:pt>
                <c:pt idx="3">
                  <c:v>PEL10</c:v>
                </c:pt>
                <c:pt idx="4">
                  <c:v>TC14</c:v>
                </c:pt>
                <c:pt idx="5">
                  <c:v>TC16</c:v>
                </c:pt>
                <c:pt idx="6">
                  <c:v>EGL1</c:v>
                </c:pt>
              </c:strCache>
            </c:strRef>
          </c:cat>
          <c:val>
            <c:numRef>
              <c:f>'2019 Sediment'!$S$13:$S$19</c:f>
              <c:numCache>
                <c:formatCode>0%</c:formatCode>
                <c:ptCount val="7"/>
                <c:pt idx="0">
                  <c:v>0.04</c:v>
                </c:pt>
                <c:pt idx="1">
                  <c:v>0.05</c:v>
                </c:pt>
                <c:pt idx="2">
                  <c:v>0.06</c:v>
                </c:pt>
                <c:pt idx="3">
                  <c:v>0.04</c:v>
                </c:pt>
                <c:pt idx="4">
                  <c:v>0.24</c:v>
                </c:pt>
                <c:pt idx="5">
                  <c:v>0.13</c:v>
                </c:pt>
                <c:pt idx="6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E-4E7A-938D-F61A8FDCE781}"/>
            </c:ext>
          </c:extLst>
        </c:ser>
        <c:ser>
          <c:idx val="2"/>
          <c:order val="2"/>
          <c:tx>
            <c:strRef>
              <c:f>'2019 Sediment'!$T$12</c:f>
              <c:strCache>
                <c:ptCount val="1"/>
                <c:pt idx="0">
                  <c:v>F Sand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Sediment'!$Q$13:$Q$19</c:f>
              <c:strCache>
                <c:ptCount val="7"/>
                <c:pt idx="0">
                  <c:v>BC03</c:v>
                </c:pt>
                <c:pt idx="1">
                  <c:v>BC05</c:v>
                </c:pt>
                <c:pt idx="2">
                  <c:v>PEL08</c:v>
                </c:pt>
                <c:pt idx="3">
                  <c:v>PEL10</c:v>
                </c:pt>
                <c:pt idx="4">
                  <c:v>TC14</c:v>
                </c:pt>
                <c:pt idx="5">
                  <c:v>TC16</c:v>
                </c:pt>
                <c:pt idx="6">
                  <c:v>EGL1</c:v>
                </c:pt>
              </c:strCache>
            </c:strRef>
          </c:cat>
          <c:val>
            <c:numRef>
              <c:f>'2019 Sediment'!$T$13:$T$19</c:f>
              <c:numCache>
                <c:formatCode>0%</c:formatCode>
                <c:ptCount val="7"/>
                <c:pt idx="0">
                  <c:v>0.08</c:v>
                </c:pt>
                <c:pt idx="1">
                  <c:v>0.11</c:v>
                </c:pt>
                <c:pt idx="2">
                  <c:v>0.13</c:v>
                </c:pt>
                <c:pt idx="3">
                  <c:v>0.23</c:v>
                </c:pt>
                <c:pt idx="4">
                  <c:v>0.08</c:v>
                </c:pt>
                <c:pt idx="5">
                  <c:v>0.13</c:v>
                </c:pt>
                <c:pt idx="6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BE-4E7A-938D-F61A8FDCE781}"/>
            </c:ext>
          </c:extLst>
        </c:ser>
        <c:ser>
          <c:idx val="3"/>
          <c:order val="3"/>
          <c:tx>
            <c:strRef>
              <c:f>'2019 Sediment'!$U$12</c:f>
              <c:strCache>
                <c:ptCount val="1"/>
                <c:pt idx="0">
                  <c:v>VF Sand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Sediment'!$Q$13:$Q$19</c:f>
              <c:strCache>
                <c:ptCount val="7"/>
                <c:pt idx="0">
                  <c:v>BC03</c:v>
                </c:pt>
                <c:pt idx="1">
                  <c:v>BC05</c:v>
                </c:pt>
                <c:pt idx="2">
                  <c:v>PEL08</c:v>
                </c:pt>
                <c:pt idx="3">
                  <c:v>PEL10</c:v>
                </c:pt>
                <c:pt idx="4">
                  <c:v>TC14</c:v>
                </c:pt>
                <c:pt idx="5">
                  <c:v>TC16</c:v>
                </c:pt>
                <c:pt idx="6">
                  <c:v>EGL1</c:v>
                </c:pt>
              </c:strCache>
            </c:strRef>
          </c:cat>
          <c:val>
            <c:numRef>
              <c:f>'2019 Sediment'!$U$13:$U$19</c:f>
              <c:numCache>
                <c:formatCode>0%</c:formatCode>
                <c:ptCount val="7"/>
                <c:pt idx="0">
                  <c:v>0.17</c:v>
                </c:pt>
                <c:pt idx="1">
                  <c:v>0.14000000000000001</c:v>
                </c:pt>
                <c:pt idx="2">
                  <c:v>0.19</c:v>
                </c:pt>
                <c:pt idx="3">
                  <c:v>0.18</c:v>
                </c:pt>
                <c:pt idx="4">
                  <c:v>0.11</c:v>
                </c:pt>
                <c:pt idx="5">
                  <c:v>0.16</c:v>
                </c:pt>
                <c:pt idx="6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BE-4E7A-938D-F61A8FDCE781}"/>
            </c:ext>
          </c:extLst>
        </c:ser>
        <c:ser>
          <c:idx val="4"/>
          <c:order val="4"/>
          <c:tx>
            <c:strRef>
              <c:f>'2019 Sediment'!$V$12</c:f>
              <c:strCache>
                <c:ptCount val="1"/>
                <c:pt idx="0">
                  <c:v>Silt &amp; Clay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80000">
                  <a:schemeClr val="accent5">
                    <a:shade val="93000"/>
                    <a:satMod val="13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'2019 Sediment'!$Q$13:$Q$19</c:f>
              <c:strCache>
                <c:ptCount val="7"/>
                <c:pt idx="0">
                  <c:v>BC03</c:v>
                </c:pt>
                <c:pt idx="1">
                  <c:v>BC05</c:v>
                </c:pt>
                <c:pt idx="2">
                  <c:v>PEL08</c:v>
                </c:pt>
                <c:pt idx="3">
                  <c:v>PEL10</c:v>
                </c:pt>
                <c:pt idx="4">
                  <c:v>TC14</c:v>
                </c:pt>
                <c:pt idx="5">
                  <c:v>TC16</c:v>
                </c:pt>
                <c:pt idx="6">
                  <c:v>EGL1</c:v>
                </c:pt>
              </c:strCache>
            </c:strRef>
          </c:cat>
          <c:val>
            <c:numRef>
              <c:f>'2019 Sediment'!$V$13:$V$19</c:f>
              <c:numCache>
                <c:formatCode>0%</c:formatCode>
                <c:ptCount val="7"/>
                <c:pt idx="0">
                  <c:v>0.69</c:v>
                </c:pt>
                <c:pt idx="1">
                  <c:v>0.67</c:v>
                </c:pt>
                <c:pt idx="2">
                  <c:v>0.57999999999999996</c:v>
                </c:pt>
                <c:pt idx="3">
                  <c:v>0.54</c:v>
                </c:pt>
                <c:pt idx="4">
                  <c:v>0.44</c:v>
                </c:pt>
                <c:pt idx="5">
                  <c:v>0.52</c:v>
                </c:pt>
                <c:pt idx="6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BE-4E7A-938D-F61A8FDCE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4639744"/>
        <c:axId val="84641280"/>
      </c:barChart>
      <c:catAx>
        <c:axId val="84639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41280"/>
        <c:crosses val="autoZero"/>
        <c:auto val="1"/>
        <c:lblAlgn val="ctr"/>
        <c:lblOffset val="100"/>
        <c:noMultiLvlLbl val="0"/>
      </c:catAx>
      <c:valAx>
        <c:axId val="846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3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200">
                <a:latin typeface="Times New Roman" panose="02020603050405020304" pitchFamily="18" charset="0"/>
                <a:cs typeface="Times New Roman" panose="02020603050405020304" pitchFamily="18" charset="0"/>
              </a:rPr>
              <a:t>Phosphorus (mgP/kg Wet Mud)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multiLvlStrRef>
              <c:f>'2019 Sediment'!$AM$3:$AN$10</c:f>
              <c:multiLvlStrCache>
                <c:ptCount val="8"/>
                <c:lvl>
                  <c:pt idx="0">
                    <c:v>SedBC03</c:v>
                  </c:pt>
                  <c:pt idx="1">
                    <c:v>SedBC05</c:v>
                  </c:pt>
                  <c:pt idx="2">
                    <c:v>SedPel08</c:v>
                  </c:pt>
                  <c:pt idx="3">
                    <c:v>SedPel10</c:v>
                  </c:pt>
                  <c:pt idx="4">
                    <c:v>SedTC14</c:v>
                  </c:pt>
                  <c:pt idx="5">
                    <c:v>SedTC16</c:v>
                  </c:pt>
                  <c:pt idx="6">
                    <c:v>EGL1</c:v>
                  </c:pt>
                  <c:pt idx="7">
                    <c:v>EGL2</c:v>
                  </c:pt>
                </c:lvl>
                <c:lvl>
                  <c:pt idx="0">
                    <c:v>Bear Creek Transect</c:v>
                  </c:pt>
                  <c:pt idx="2">
                    <c:v>Pelican Point Transect</c:v>
                  </c:pt>
                  <c:pt idx="4">
                    <c:v>Turkey Creek Transect</c:v>
                  </c:pt>
                  <c:pt idx="6">
                    <c:v>Evergreen Lake</c:v>
                  </c:pt>
                </c:lvl>
              </c:multiLvlStrCache>
            </c:multiLvlStrRef>
          </c:cat>
          <c:val>
            <c:numRef>
              <c:f>'2019 Sediment'!$AO$3:$AO$10</c:f>
              <c:numCache>
                <c:formatCode>#,##0.00</c:formatCode>
                <c:ptCount val="8"/>
                <c:pt idx="0">
                  <c:v>8.7119918004783088</c:v>
                </c:pt>
                <c:pt idx="1">
                  <c:v>4.4132184719672374</c:v>
                </c:pt>
                <c:pt idx="2">
                  <c:v>3.51990265948201</c:v>
                </c:pt>
                <c:pt idx="3">
                  <c:v>6.6494845360824728</c:v>
                </c:pt>
                <c:pt idx="4">
                  <c:v>4.461433386943976</c:v>
                </c:pt>
                <c:pt idx="5">
                  <c:v>5.5169273341856826</c:v>
                </c:pt>
                <c:pt idx="6">
                  <c:v>4.3693562481794332</c:v>
                </c:pt>
                <c:pt idx="7">
                  <c:v>2.7302873255098192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FC-406C-B08D-28D048E2F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4751104"/>
        <c:axId val="84752640"/>
      </c:barChart>
      <c:catAx>
        <c:axId val="8475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52640"/>
        <c:crosses val="autoZero"/>
        <c:auto val="1"/>
        <c:lblAlgn val="ctr"/>
        <c:lblOffset val="100"/>
        <c:noMultiLvlLbl val="0"/>
      </c:catAx>
      <c:valAx>
        <c:axId val="8475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5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Dissolved Oxygen mg/l Profile Average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'BCR O2 Record'!$B$38</c:f>
              <c:strCache>
                <c:ptCount val="1"/>
                <c:pt idx="0">
                  <c:v>2014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'BCR O2 Record'!$B$37:$P$37</c:f>
              <c:strCache>
                <c:ptCount val="15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Jul</c:v>
                </c:pt>
                <c:pt idx="8">
                  <c:v>Aug</c:v>
                </c:pt>
                <c:pt idx="9">
                  <c:v>Aug</c:v>
                </c:pt>
                <c:pt idx="10">
                  <c:v>Sep</c:v>
                </c:pt>
                <c:pt idx="11">
                  <c:v>Sep</c:v>
                </c:pt>
                <c:pt idx="12">
                  <c:v>Oct</c:v>
                </c:pt>
                <c:pt idx="13">
                  <c:v>Nov</c:v>
                </c:pt>
                <c:pt idx="14">
                  <c:v>Dec</c:v>
                </c:pt>
              </c:strCache>
            </c:strRef>
          </c:cat>
          <c:val>
            <c:numRef>
              <c:f>'BCR O2 Record'!$B$35:$P$35</c:f>
              <c:numCache>
                <c:formatCode>#,##0.00</c:formatCode>
                <c:ptCount val="15"/>
                <c:pt idx="0">
                  <c:v>9.3613333333333326</c:v>
                </c:pt>
                <c:pt idx="1">
                  <c:v>7.9819999999999984</c:v>
                </c:pt>
                <c:pt idx="2">
                  <c:v>10.30142857142857</c:v>
                </c:pt>
                <c:pt idx="3">
                  <c:v>10.107333333333335</c:v>
                </c:pt>
                <c:pt idx="4">
                  <c:v>8.7913333333333341</c:v>
                </c:pt>
                <c:pt idx="5">
                  <c:v>7.9913333333333334</c:v>
                </c:pt>
                <c:pt idx="6">
                  <c:v>6.8999999999999977</c:v>
                </c:pt>
                <c:pt idx="7">
                  <c:v>7.0206666666666679</c:v>
                </c:pt>
                <c:pt idx="8">
                  <c:v>8.1939999999999991</c:v>
                </c:pt>
                <c:pt idx="9">
                  <c:v>6.0659999999999998</c:v>
                </c:pt>
                <c:pt idx="10">
                  <c:v>6.6653333333333329</c:v>
                </c:pt>
                <c:pt idx="11">
                  <c:v>7.7759999999999998</c:v>
                </c:pt>
                <c:pt idx="12">
                  <c:v>9.4726666666666688</c:v>
                </c:pt>
                <c:pt idx="13">
                  <c:v>9.42</c:v>
                </c:pt>
                <c:pt idx="14">
                  <c:v>10.641999999999999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B-4E99-BA01-7E3EC759B608}"/>
            </c:ext>
          </c:extLst>
        </c:ser>
        <c:ser>
          <c:idx val="1"/>
          <c:order val="1"/>
          <c:tx>
            <c:strRef>
              <c:f>'BCR O2 Record'!$C$38</c:f>
              <c:strCache>
                <c:ptCount val="1"/>
                <c:pt idx="0">
                  <c:v>2015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Record'!$B$28:$P$28</c:f>
              <c:numCache>
                <c:formatCode>#,##0.00</c:formatCode>
                <c:ptCount val="15"/>
                <c:pt idx="0">
                  <c:v>11.061333333333332</c:v>
                </c:pt>
                <c:pt idx="1">
                  <c:v>11.129999999999997</c:v>
                </c:pt>
                <c:pt idx="2">
                  <c:v>12.259333333333332</c:v>
                </c:pt>
                <c:pt idx="3">
                  <c:v>9.0920000000000005</c:v>
                </c:pt>
                <c:pt idx="4">
                  <c:v>9.325333333333333</c:v>
                </c:pt>
                <c:pt idx="5">
                  <c:v>8.09</c:v>
                </c:pt>
                <c:pt idx="6">
                  <c:v>6.5520000000000005</c:v>
                </c:pt>
                <c:pt idx="7">
                  <c:v>7.0633333333333344</c:v>
                </c:pt>
                <c:pt idx="8">
                  <c:v>5.8213333333333335</c:v>
                </c:pt>
                <c:pt idx="9">
                  <c:v>6.4414285714285695</c:v>
                </c:pt>
                <c:pt idx="10">
                  <c:v>4.9314285714285706</c:v>
                </c:pt>
                <c:pt idx="11">
                  <c:v>6.7900000000000009</c:v>
                </c:pt>
                <c:pt idx="12">
                  <c:v>6.3092857142857142</c:v>
                </c:pt>
                <c:pt idx="13">
                  <c:v>10.493076923076924</c:v>
                </c:pt>
                <c:pt idx="14">
                  <c:v>10.265714285714285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B-4E99-BA01-7E3EC759B608}"/>
            </c:ext>
          </c:extLst>
        </c:ser>
        <c:ser>
          <c:idx val="2"/>
          <c:order val="2"/>
          <c:tx>
            <c:strRef>
              <c:f>'BCR O2 Record'!$D$38</c:f>
              <c:strCache>
                <c:ptCount val="1"/>
                <c:pt idx="0">
                  <c:v>2016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Record'!$B$20:$P$20</c:f>
              <c:numCache>
                <c:formatCode>#,##0.00</c:formatCode>
                <c:ptCount val="15"/>
                <c:pt idx="0">
                  <c:v>7.83</c:v>
                </c:pt>
                <c:pt idx="1">
                  <c:v>9.7899999999999991</c:v>
                </c:pt>
                <c:pt idx="2">
                  <c:v>10.15</c:v>
                </c:pt>
                <c:pt idx="3">
                  <c:v>9.06</c:v>
                </c:pt>
                <c:pt idx="4">
                  <c:v>6.82</c:v>
                </c:pt>
                <c:pt idx="5">
                  <c:v>5.89</c:v>
                </c:pt>
                <c:pt idx="6">
                  <c:v>5.9</c:v>
                </c:pt>
                <c:pt idx="7">
                  <c:v>5.42</c:v>
                </c:pt>
                <c:pt idx="8">
                  <c:v>5.58</c:v>
                </c:pt>
                <c:pt idx="9">
                  <c:v>4.63</c:v>
                </c:pt>
                <c:pt idx="10">
                  <c:v>9.0399999999999991</c:v>
                </c:pt>
                <c:pt idx="11">
                  <c:v>7.8</c:v>
                </c:pt>
                <c:pt idx="12">
                  <c:v>8.14</c:v>
                </c:pt>
                <c:pt idx="13">
                  <c:v>10.62</c:v>
                </c:pt>
                <c:pt idx="14">
                  <c:v>13.47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EB-4E99-BA01-7E3EC759B608}"/>
            </c:ext>
          </c:extLst>
        </c:ser>
        <c:ser>
          <c:idx val="3"/>
          <c:order val="3"/>
          <c:tx>
            <c:strRef>
              <c:f>'BCR O2 Record'!$E$38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Record'!$B$12:$P$12</c:f>
              <c:numCache>
                <c:formatCode>#,##0.00</c:formatCode>
                <c:ptCount val="15"/>
                <c:pt idx="0">
                  <c:v>12.82</c:v>
                </c:pt>
                <c:pt idx="1">
                  <c:v>12.74</c:v>
                </c:pt>
                <c:pt idx="2">
                  <c:v>9.86</c:v>
                </c:pt>
                <c:pt idx="3">
                  <c:v>10.55</c:v>
                </c:pt>
                <c:pt idx="4">
                  <c:v>10.220000000000001</c:v>
                </c:pt>
                <c:pt idx="5">
                  <c:v>4.5599999999999996</c:v>
                </c:pt>
                <c:pt idx="6">
                  <c:v>5.76</c:v>
                </c:pt>
                <c:pt idx="7">
                  <c:v>5.54</c:v>
                </c:pt>
                <c:pt idx="8">
                  <c:v>5.1585714285714284</c:v>
                </c:pt>
                <c:pt idx="9">
                  <c:v>8.3235714285714302</c:v>
                </c:pt>
                <c:pt idx="10">
                  <c:v>7.1385714285714288</c:v>
                </c:pt>
                <c:pt idx="11">
                  <c:v>7.968571428571428</c:v>
                </c:pt>
                <c:pt idx="12">
                  <c:v>7.7514285714285718</c:v>
                </c:pt>
                <c:pt idx="13">
                  <c:v>9.1785714285714288</c:v>
                </c:pt>
                <c:pt idx="14">
                  <c:v>10.910714285714283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EB-4E99-BA01-7E3EC759B608}"/>
            </c:ext>
          </c:extLst>
        </c:ser>
        <c:ser>
          <c:idx val="4"/>
          <c:order val="4"/>
          <c:tx>
            <c:strRef>
              <c:f>'BCR O2 Record'!$F$38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Record'!$B$5:$P$5</c:f>
              <c:numCache>
                <c:formatCode>#,##0.00</c:formatCode>
                <c:ptCount val="15"/>
                <c:pt idx="0">
                  <c:v>11.48</c:v>
                </c:pt>
                <c:pt idx="1">
                  <c:v>9.1199999999999992</c:v>
                </c:pt>
                <c:pt idx="2">
                  <c:v>8.94</c:v>
                </c:pt>
                <c:pt idx="3">
                  <c:v>7.79</c:v>
                </c:pt>
                <c:pt idx="4">
                  <c:v>5.84</c:v>
                </c:pt>
                <c:pt idx="5">
                  <c:v>5.31</c:v>
                </c:pt>
                <c:pt idx="6">
                  <c:v>5.31</c:v>
                </c:pt>
                <c:pt idx="7">
                  <c:v>5.89</c:v>
                </c:pt>
                <c:pt idx="8">
                  <c:v>6.54</c:v>
                </c:pt>
                <c:pt idx="9">
                  <c:v>6.34</c:v>
                </c:pt>
                <c:pt idx="10">
                  <c:v>6.15</c:v>
                </c:pt>
                <c:pt idx="11">
                  <c:v>7.09</c:v>
                </c:pt>
                <c:pt idx="12">
                  <c:v>8.14</c:v>
                </c:pt>
                <c:pt idx="13">
                  <c:v>8.5299999999999994</c:v>
                </c:pt>
                <c:pt idx="14">
                  <c:v>10.91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EB-4E99-BA01-7E3EC759B608}"/>
            </c:ext>
          </c:extLst>
        </c:ser>
        <c:ser>
          <c:idx val="5"/>
          <c:order val="5"/>
          <c:tx>
            <c:strRef>
              <c:f>'BCR O2 Record'!$A$6</c:f>
              <c:strCache>
                <c:ptCount val="1"/>
                <c:pt idx="0">
                  <c:v>DO Compliance (mg/l)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Record'!$B$6:$P$6</c:f>
              <c:numCache>
                <c:formatCode>#,##0.00</c:formatCode>
                <c:ptCount val="1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EB-4E99-BA01-7E3EC759B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4356360"/>
        <c:axId val="664359640"/>
      </c:lineChart>
      <c:catAx>
        <c:axId val="664356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359640"/>
        <c:crosses val="autoZero"/>
        <c:auto val="1"/>
        <c:lblAlgn val="ctr"/>
        <c:lblOffset val="100"/>
        <c:noMultiLvlLbl val="0"/>
      </c:catAx>
      <c:valAx>
        <c:axId val="664359640"/>
        <c:scaling>
          <c:orientation val="minMax"/>
          <c:max val="13"/>
          <c:min val="4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356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BCR 2016 Dissolved Oxygen Profile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'BCR O2 Record'!$A$20</c:f>
              <c:strCache>
                <c:ptCount val="1"/>
                <c:pt idx="0">
                  <c:v>Profile Average (mg/l)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'BCR O2 Record'!$B$17:$P$17</c:f>
              <c:numCache>
                <c:formatCode>m/d/yyyy</c:formatCode>
                <c:ptCount val="15"/>
                <c:pt idx="0">
                  <c:v>42374</c:v>
                </c:pt>
                <c:pt idx="1">
                  <c:v>42422</c:v>
                </c:pt>
                <c:pt idx="2">
                  <c:v>42436</c:v>
                </c:pt>
                <c:pt idx="3">
                  <c:v>42485</c:v>
                </c:pt>
                <c:pt idx="4">
                  <c:v>42513</c:v>
                </c:pt>
                <c:pt idx="5">
                  <c:v>42541</c:v>
                </c:pt>
                <c:pt idx="6">
                  <c:v>42562</c:v>
                </c:pt>
                <c:pt idx="7">
                  <c:v>42576</c:v>
                </c:pt>
                <c:pt idx="8">
                  <c:v>42591</c:v>
                </c:pt>
                <c:pt idx="9">
                  <c:v>42604</c:v>
                </c:pt>
                <c:pt idx="10">
                  <c:v>42625</c:v>
                </c:pt>
                <c:pt idx="11">
                  <c:v>42639</c:v>
                </c:pt>
                <c:pt idx="12">
                  <c:v>42660</c:v>
                </c:pt>
                <c:pt idx="13">
                  <c:v>42691</c:v>
                </c:pt>
                <c:pt idx="14">
                  <c:v>42709</c:v>
                </c:pt>
              </c:numCache>
            </c:numRef>
          </c:cat>
          <c:val>
            <c:numRef>
              <c:f>'BCR O2 Record'!$B$20:$P$20</c:f>
              <c:numCache>
                <c:formatCode>#,##0.00</c:formatCode>
                <c:ptCount val="15"/>
                <c:pt idx="0">
                  <c:v>7.83</c:v>
                </c:pt>
                <c:pt idx="1">
                  <c:v>9.7899999999999991</c:v>
                </c:pt>
                <c:pt idx="2">
                  <c:v>10.15</c:v>
                </c:pt>
                <c:pt idx="3">
                  <c:v>9.06</c:v>
                </c:pt>
                <c:pt idx="4">
                  <c:v>6.82</c:v>
                </c:pt>
                <c:pt idx="5">
                  <c:v>5.89</c:v>
                </c:pt>
                <c:pt idx="6">
                  <c:v>5.9</c:v>
                </c:pt>
                <c:pt idx="7">
                  <c:v>5.42</c:v>
                </c:pt>
                <c:pt idx="8">
                  <c:v>5.58</c:v>
                </c:pt>
                <c:pt idx="9">
                  <c:v>4.63</c:v>
                </c:pt>
                <c:pt idx="10">
                  <c:v>9.0399999999999991</c:v>
                </c:pt>
                <c:pt idx="11">
                  <c:v>7.8</c:v>
                </c:pt>
                <c:pt idx="12">
                  <c:v>8.14</c:v>
                </c:pt>
                <c:pt idx="13">
                  <c:v>10.62</c:v>
                </c:pt>
                <c:pt idx="14">
                  <c:v>13.47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2-4CF6-B23A-ABBCBF7749FC}"/>
            </c:ext>
          </c:extLst>
        </c:ser>
        <c:ser>
          <c:idx val="1"/>
          <c:order val="1"/>
          <c:tx>
            <c:strRef>
              <c:f>'BCR O2 Record'!$A$21</c:f>
              <c:strCache>
                <c:ptCount val="1"/>
                <c:pt idx="0">
                  <c:v>DO Compliance (mg/l)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Record'!$B$21:$P$21</c:f>
              <c:numCache>
                <c:formatCode>#,##0.00</c:formatCode>
                <c:ptCount val="1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2-4CF6-B23A-ABBCBF7749FC}"/>
            </c:ext>
          </c:extLst>
        </c:ser>
        <c:ser>
          <c:idx val="2"/>
          <c:order val="2"/>
          <c:tx>
            <c:strRef>
              <c:f>'BCR O2 Record'!$A$22</c:f>
              <c:strCache>
                <c:ptCount val="1"/>
                <c:pt idx="0">
                  <c:v>aerator operation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Record'!$B$22:$P$22</c:f>
              <c:numCache>
                <c:formatCode>#,##0.00</c:formatCode>
                <c:ptCount val="15"/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02-4CF6-B23A-ABBCBF774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1676944"/>
        <c:axId val="581677600"/>
      </c:lineChart>
      <c:dateAx>
        <c:axId val="58167694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1677600"/>
        <c:crosses val="autoZero"/>
        <c:auto val="1"/>
        <c:lblOffset val="100"/>
        <c:baseTimeUnit val="days"/>
      </c:dateAx>
      <c:valAx>
        <c:axId val="58167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167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BCR2017 Dissolved Oxygen Profile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'BCR O2 Record'!$A$12</c:f>
              <c:strCache>
                <c:ptCount val="1"/>
                <c:pt idx="0">
                  <c:v>Profile Average (mg/l)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'BCR O2 Record'!$B$9:$P$9</c:f>
              <c:numCache>
                <c:formatCode>m/d/yyyy</c:formatCode>
                <c:ptCount val="15"/>
                <c:pt idx="0">
                  <c:v>42744</c:v>
                </c:pt>
                <c:pt idx="1">
                  <c:v>42779</c:v>
                </c:pt>
                <c:pt idx="2">
                  <c:v>42814</c:v>
                </c:pt>
                <c:pt idx="3">
                  <c:v>42842</c:v>
                </c:pt>
                <c:pt idx="4">
                  <c:v>42877</c:v>
                </c:pt>
                <c:pt idx="5">
                  <c:v>42912</c:v>
                </c:pt>
                <c:pt idx="6">
                  <c:v>42926</c:v>
                </c:pt>
                <c:pt idx="7">
                  <c:v>42933</c:v>
                </c:pt>
                <c:pt idx="8">
                  <c:v>42955</c:v>
                </c:pt>
                <c:pt idx="9">
                  <c:v>42961</c:v>
                </c:pt>
                <c:pt idx="10">
                  <c:v>42989</c:v>
                </c:pt>
                <c:pt idx="11">
                  <c:v>42996</c:v>
                </c:pt>
                <c:pt idx="12">
                  <c:v>43024</c:v>
                </c:pt>
                <c:pt idx="13">
                  <c:v>43052</c:v>
                </c:pt>
                <c:pt idx="14">
                  <c:v>43080</c:v>
                </c:pt>
              </c:numCache>
            </c:numRef>
          </c:cat>
          <c:val>
            <c:numRef>
              <c:f>'BCR O2 Record'!$B$12:$P$12</c:f>
              <c:numCache>
                <c:formatCode>#,##0.00</c:formatCode>
                <c:ptCount val="15"/>
                <c:pt idx="0">
                  <c:v>12.82</c:v>
                </c:pt>
                <c:pt idx="1">
                  <c:v>12.74</c:v>
                </c:pt>
                <c:pt idx="2">
                  <c:v>9.86</c:v>
                </c:pt>
                <c:pt idx="3">
                  <c:v>10.55</c:v>
                </c:pt>
                <c:pt idx="4">
                  <c:v>10.220000000000001</c:v>
                </c:pt>
                <c:pt idx="5">
                  <c:v>4.5599999999999996</c:v>
                </c:pt>
                <c:pt idx="6">
                  <c:v>5.76</c:v>
                </c:pt>
                <c:pt idx="7">
                  <c:v>5.54</c:v>
                </c:pt>
                <c:pt idx="8">
                  <c:v>5.1585714285714284</c:v>
                </c:pt>
                <c:pt idx="9">
                  <c:v>8.3235714285714302</c:v>
                </c:pt>
                <c:pt idx="10">
                  <c:v>7.1385714285714288</c:v>
                </c:pt>
                <c:pt idx="11">
                  <c:v>7.968571428571428</c:v>
                </c:pt>
                <c:pt idx="12">
                  <c:v>7.7514285714285718</c:v>
                </c:pt>
                <c:pt idx="13">
                  <c:v>9.1785714285714288</c:v>
                </c:pt>
                <c:pt idx="14">
                  <c:v>10.910714285714283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78-40A0-8682-9AD7B0B3AC83}"/>
            </c:ext>
          </c:extLst>
        </c:ser>
        <c:ser>
          <c:idx val="1"/>
          <c:order val="1"/>
          <c:tx>
            <c:strRef>
              <c:f>'BCR O2 Record'!$A$13</c:f>
              <c:strCache>
                <c:ptCount val="1"/>
                <c:pt idx="0">
                  <c:v>DO Compliance (mg/l)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Record'!$B$13:$P$13</c:f>
              <c:numCache>
                <c:formatCode>#,##0.00</c:formatCode>
                <c:ptCount val="1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78-40A0-8682-9AD7B0B3AC83}"/>
            </c:ext>
          </c:extLst>
        </c:ser>
        <c:ser>
          <c:idx val="2"/>
          <c:order val="2"/>
          <c:tx>
            <c:strRef>
              <c:f>'BCR O2 Record'!$A$14</c:f>
              <c:strCache>
                <c:ptCount val="1"/>
                <c:pt idx="0">
                  <c:v>aerator operation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Record'!$B$14:$P$14</c:f>
              <c:numCache>
                <c:formatCode>#,##0</c:formatCode>
                <c:ptCount val="15"/>
                <c:pt idx="5" formatCode="#,##0.00">
                  <c:v>1</c:v>
                </c:pt>
                <c:pt idx="6" formatCode="#,##0.00">
                  <c:v>1</c:v>
                </c:pt>
                <c:pt idx="7" formatCode="#,##0.00">
                  <c:v>1</c:v>
                </c:pt>
                <c:pt idx="8" formatCode="#,##0.00">
                  <c:v>1</c:v>
                </c:pt>
                <c:pt idx="9" formatCode="#,##0.00">
                  <c:v>1</c:v>
                </c:pt>
                <c:pt idx="10" formatCode="#,##0.00">
                  <c:v>1</c:v>
                </c:pt>
                <c:pt idx="11" formatCode="#,##0.0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8-40A0-8682-9AD7B0B3A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1552096"/>
        <c:axId val="621555376"/>
      </c:lineChart>
      <c:dateAx>
        <c:axId val="62155209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55376"/>
        <c:crosses val="autoZero"/>
        <c:auto val="1"/>
        <c:lblOffset val="100"/>
        <c:baseTimeUnit val="days"/>
      </c:dateAx>
      <c:valAx>
        <c:axId val="62155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55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BCR 2018 Dissolved Oxygen Profile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'BCR O2 Record'!$A$5</c:f>
              <c:strCache>
                <c:ptCount val="1"/>
                <c:pt idx="0">
                  <c:v>Profile Average (mg/l)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'BCR O2 Record'!$B$2:$P$2</c:f>
              <c:numCache>
                <c:formatCode>m/d/yyyy</c:formatCode>
                <c:ptCount val="15"/>
                <c:pt idx="0">
                  <c:v>43108</c:v>
                </c:pt>
                <c:pt idx="1">
                  <c:v>43143</c:v>
                </c:pt>
                <c:pt idx="2">
                  <c:v>43178</c:v>
                </c:pt>
                <c:pt idx="3">
                  <c:v>43199</c:v>
                </c:pt>
                <c:pt idx="4">
                  <c:v>43234</c:v>
                </c:pt>
                <c:pt idx="5">
                  <c:v>43262</c:v>
                </c:pt>
                <c:pt idx="6">
                  <c:v>43290</c:v>
                </c:pt>
                <c:pt idx="7">
                  <c:v>43297</c:v>
                </c:pt>
                <c:pt idx="8">
                  <c:v>43319</c:v>
                </c:pt>
                <c:pt idx="9">
                  <c:v>43325</c:v>
                </c:pt>
                <c:pt idx="10">
                  <c:v>43353</c:v>
                </c:pt>
                <c:pt idx="11">
                  <c:v>43369</c:v>
                </c:pt>
                <c:pt idx="12">
                  <c:v>43388</c:v>
                </c:pt>
                <c:pt idx="13">
                  <c:v>43409</c:v>
                </c:pt>
                <c:pt idx="14">
                  <c:v>43444</c:v>
                </c:pt>
              </c:numCache>
            </c:numRef>
          </c:cat>
          <c:val>
            <c:numRef>
              <c:f>'BCR O2 Record'!$B$5:$P$5</c:f>
              <c:numCache>
                <c:formatCode>#,##0.00</c:formatCode>
                <c:ptCount val="15"/>
                <c:pt idx="0">
                  <c:v>11.48</c:v>
                </c:pt>
                <c:pt idx="1">
                  <c:v>9.1199999999999992</c:v>
                </c:pt>
                <c:pt idx="2">
                  <c:v>8.94</c:v>
                </c:pt>
                <c:pt idx="3">
                  <c:v>7.79</c:v>
                </c:pt>
                <c:pt idx="4">
                  <c:v>5.84</c:v>
                </c:pt>
                <c:pt idx="5">
                  <c:v>5.31</c:v>
                </c:pt>
                <c:pt idx="6">
                  <c:v>5.31</c:v>
                </c:pt>
                <c:pt idx="7">
                  <c:v>5.89</c:v>
                </c:pt>
                <c:pt idx="8">
                  <c:v>6.54</c:v>
                </c:pt>
                <c:pt idx="9">
                  <c:v>6.34</c:v>
                </c:pt>
                <c:pt idx="10">
                  <c:v>6.15</c:v>
                </c:pt>
                <c:pt idx="11">
                  <c:v>7.09</c:v>
                </c:pt>
                <c:pt idx="12">
                  <c:v>8.14</c:v>
                </c:pt>
                <c:pt idx="13">
                  <c:v>8.5299999999999994</c:v>
                </c:pt>
                <c:pt idx="14">
                  <c:v>10.91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5-4A91-82A7-4E286C2B8E01}"/>
            </c:ext>
          </c:extLst>
        </c:ser>
        <c:ser>
          <c:idx val="1"/>
          <c:order val="1"/>
          <c:tx>
            <c:strRef>
              <c:f>'BCR O2 Record'!$A$6</c:f>
              <c:strCache>
                <c:ptCount val="1"/>
                <c:pt idx="0">
                  <c:v>DO Compliance (mg/l)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Record'!$B$6:$P$6</c:f>
              <c:numCache>
                <c:formatCode>#,##0.00</c:formatCode>
                <c:ptCount val="1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5-4A91-82A7-4E286C2B8E01}"/>
            </c:ext>
          </c:extLst>
        </c:ser>
        <c:ser>
          <c:idx val="2"/>
          <c:order val="2"/>
          <c:tx>
            <c:strRef>
              <c:f>'BCR O2 Record'!$A$7</c:f>
              <c:strCache>
                <c:ptCount val="1"/>
                <c:pt idx="0">
                  <c:v>aerator operation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Record'!$B$7:$P$7</c:f>
              <c:numCache>
                <c:formatCode>#,##0</c:formatCode>
                <c:ptCount val="15"/>
                <c:pt idx="5" formatCode="#,##0.00">
                  <c:v>1</c:v>
                </c:pt>
                <c:pt idx="6" formatCode="#,##0.00">
                  <c:v>1</c:v>
                </c:pt>
                <c:pt idx="7" formatCode="#,##0.00">
                  <c:v>1</c:v>
                </c:pt>
                <c:pt idx="8" formatCode="#,##0.00">
                  <c:v>1</c:v>
                </c:pt>
                <c:pt idx="9" formatCode="#,##0.00">
                  <c:v>1</c:v>
                </c:pt>
                <c:pt idx="10" formatCode="#,##0.00">
                  <c:v>1</c:v>
                </c:pt>
                <c:pt idx="11" formatCode="#,##0.00">
                  <c:v>1</c:v>
                </c:pt>
                <c:pt idx="12" formatCode="#,##0.0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5-4A91-82A7-4E286C2B8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307912"/>
        <c:axId val="626315784"/>
      </c:lineChart>
      <c:dateAx>
        <c:axId val="6263079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315784"/>
        <c:crosses val="autoZero"/>
        <c:auto val="1"/>
        <c:lblOffset val="100"/>
        <c:baseTimeUnit val="days"/>
      </c:dateAx>
      <c:valAx>
        <c:axId val="62631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307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/>
              <a:t>BCR 2015 Dissolved Oxygen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'BCR O2 Record'!$A$28</c:f>
              <c:strCache>
                <c:ptCount val="1"/>
                <c:pt idx="0">
                  <c:v>Profile Average (mg/l)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'BCR O2 Record'!$B$25:$P$25</c:f>
              <c:numCache>
                <c:formatCode>m/d/yyyy</c:formatCode>
                <c:ptCount val="15"/>
                <c:pt idx="0">
                  <c:v>42009</c:v>
                </c:pt>
                <c:pt idx="1">
                  <c:v>42052</c:v>
                </c:pt>
                <c:pt idx="2">
                  <c:v>42086</c:v>
                </c:pt>
                <c:pt idx="3">
                  <c:v>42114</c:v>
                </c:pt>
                <c:pt idx="4">
                  <c:v>42142</c:v>
                </c:pt>
                <c:pt idx="5">
                  <c:v>42170</c:v>
                </c:pt>
                <c:pt idx="6">
                  <c:v>42191</c:v>
                </c:pt>
                <c:pt idx="7">
                  <c:v>42205</c:v>
                </c:pt>
                <c:pt idx="8">
                  <c:v>42227</c:v>
                </c:pt>
                <c:pt idx="9">
                  <c:v>42241</c:v>
                </c:pt>
                <c:pt idx="10">
                  <c:v>42261</c:v>
                </c:pt>
                <c:pt idx="11">
                  <c:v>42275</c:v>
                </c:pt>
                <c:pt idx="12">
                  <c:v>42296</c:v>
                </c:pt>
                <c:pt idx="13">
                  <c:v>42324</c:v>
                </c:pt>
                <c:pt idx="14">
                  <c:v>42345</c:v>
                </c:pt>
              </c:numCache>
            </c:numRef>
          </c:cat>
          <c:val>
            <c:numRef>
              <c:f>'BCR O2 Record'!$B$28:$P$28</c:f>
              <c:numCache>
                <c:formatCode>#,##0.00</c:formatCode>
                <c:ptCount val="15"/>
                <c:pt idx="0">
                  <c:v>11.061333333333332</c:v>
                </c:pt>
                <c:pt idx="1">
                  <c:v>11.129999999999997</c:v>
                </c:pt>
                <c:pt idx="2">
                  <c:v>12.259333333333332</c:v>
                </c:pt>
                <c:pt idx="3">
                  <c:v>9.0920000000000005</c:v>
                </c:pt>
                <c:pt idx="4">
                  <c:v>9.325333333333333</c:v>
                </c:pt>
                <c:pt idx="5">
                  <c:v>8.09</c:v>
                </c:pt>
                <c:pt idx="6">
                  <c:v>6.5520000000000005</c:v>
                </c:pt>
                <c:pt idx="7">
                  <c:v>7.0633333333333344</c:v>
                </c:pt>
                <c:pt idx="8">
                  <c:v>5.8213333333333335</c:v>
                </c:pt>
                <c:pt idx="9">
                  <c:v>6.4414285714285695</c:v>
                </c:pt>
                <c:pt idx="10">
                  <c:v>4.9314285714285706</c:v>
                </c:pt>
                <c:pt idx="11">
                  <c:v>6.7900000000000009</c:v>
                </c:pt>
                <c:pt idx="12">
                  <c:v>6.3092857142857142</c:v>
                </c:pt>
                <c:pt idx="13">
                  <c:v>10.493076923076924</c:v>
                </c:pt>
                <c:pt idx="14">
                  <c:v>10.265714285714285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8-4C37-825F-B8B06DFECAFF}"/>
            </c:ext>
          </c:extLst>
        </c:ser>
        <c:ser>
          <c:idx val="1"/>
          <c:order val="1"/>
          <c:tx>
            <c:strRef>
              <c:f>'BCR O2 Record'!$A$21</c:f>
              <c:strCache>
                <c:ptCount val="1"/>
                <c:pt idx="0">
                  <c:v>DO Compliance (mg/l)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Record'!$B$21:$P$21</c:f>
              <c:numCache>
                <c:formatCode>#,##0.00</c:formatCode>
                <c:ptCount val="1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78-4C37-825F-B8B06DFECAFF}"/>
            </c:ext>
          </c:extLst>
        </c:ser>
        <c:ser>
          <c:idx val="2"/>
          <c:order val="2"/>
          <c:tx>
            <c:strRef>
              <c:f>'BCR O2 Record'!$A$29</c:f>
              <c:strCache>
                <c:ptCount val="1"/>
                <c:pt idx="0">
                  <c:v>aerator operation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val>
            <c:numRef>
              <c:f>'BCR O2 Record'!$B$29:$P$29</c:f>
              <c:numCache>
                <c:formatCode>#,##0.00</c:formatCode>
                <c:ptCount val="15"/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8-4C37-825F-B8B06DFEC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302008"/>
        <c:axId val="626305944"/>
      </c:lineChart>
      <c:dateAx>
        <c:axId val="62630200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305944"/>
        <c:crosses val="autoZero"/>
        <c:auto val="1"/>
        <c:lblOffset val="100"/>
        <c:baseTimeUnit val="days"/>
      </c:dateAx>
      <c:valAx>
        <c:axId val="62630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302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4" Type="http://schemas.openxmlformats.org/officeDocument/2006/relationships/chart" Target="../charts/chart3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4" Type="http://schemas.openxmlformats.org/officeDocument/2006/relationships/chart" Target="../charts/chart71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10" Type="http://schemas.openxmlformats.org/officeDocument/2006/relationships/chart" Target="../charts/chart83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4" Type="http://schemas.openxmlformats.org/officeDocument/2006/relationships/chart" Target="../charts/chart9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1.xml"/><Relationship Id="rId3" Type="http://schemas.openxmlformats.org/officeDocument/2006/relationships/chart" Target="../charts/chart97.xml"/><Relationship Id="rId7" Type="http://schemas.openxmlformats.org/officeDocument/2006/relationships/chart" Target="../charts/chart100.xml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image" Target="../media/image3.png"/><Relationship Id="rId5" Type="http://schemas.openxmlformats.org/officeDocument/2006/relationships/chart" Target="../charts/chart99.xml"/><Relationship Id="rId4" Type="http://schemas.openxmlformats.org/officeDocument/2006/relationships/chart" Target="../charts/chart98.xml"/><Relationship Id="rId9" Type="http://schemas.openxmlformats.org/officeDocument/2006/relationships/chart" Target="../charts/chart10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22</xdr:row>
      <xdr:rowOff>123825</xdr:rowOff>
    </xdr:from>
    <xdr:to>
      <xdr:col>12</xdr:col>
      <xdr:colOff>114300</xdr:colOff>
      <xdr:row>37</xdr:row>
      <xdr:rowOff>38100</xdr:rowOff>
    </xdr:to>
    <xdr:graphicFrame macro="">
      <xdr:nvGraphicFramePr>
        <xdr:cNvPr id="1445" name="Chart 1">
          <a:extLst>
            <a:ext uri="{FF2B5EF4-FFF2-40B4-BE49-F238E27FC236}">
              <a16:creationId xmlns:a16="http://schemas.microsoft.com/office/drawing/2014/main" id="{00000000-0008-0000-0100-0000A5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285750</xdr:colOff>
      <xdr:row>22</xdr:row>
      <xdr:rowOff>123825</xdr:rowOff>
    </xdr:from>
    <xdr:to>
      <xdr:col>15</xdr:col>
      <xdr:colOff>314325</xdr:colOff>
      <xdr:row>37</xdr:row>
      <xdr:rowOff>38100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276225</xdr:colOff>
      <xdr:row>55</xdr:row>
      <xdr:rowOff>0</xdr:rowOff>
    </xdr:from>
    <xdr:to>
      <xdr:col>16</xdr:col>
      <xdr:colOff>133350</xdr:colOff>
      <xdr:row>73</xdr:row>
      <xdr:rowOff>19050</xdr:rowOff>
    </xdr:to>
    <xdr:graphicFrame macro="">
      <xdr:nvGraphicFramePr>
        <xdr:cNvPr id="8" name="Chart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285749</xdr:colOff>
      <xdr:row>37</xdr:row>
      <xdr:rowOff>152401</xdr:rowOff>
    </xdr:from>
    <xdr:to>
      <xdr:col>15</xdr:col>
      <xdr:colOff>333374</xdr:colOff>
      <xdr:row>51</xdr:row>
      <xdr:rowOff>139700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9525</xdr:colOff>
      <xdr:row>22</xdr:row>
      <xdr:rowOff>152400</xdr:rowOff>
    </xdr:from>
    <xdr:to>
      <xdr:col>36</xdr:col>
      <xdr:colOff>388620</xdr:colOff>
      <xdr:row>37</xdr:row>
      <xdr:rowOff>66675</xdr:rowOff>
    </xdr:to>
    <xdr:graphicFrame macro="">
      <xdr:nvGraphicFramePr>
        <xdr:cNvPr id="10" name="Chart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9525</xdr:colOff>
      <xdr:row>38</xdr:row>
      <xdr:rowOff>19050</xdr:rowOff>
    </xdr:from>
    <xdr:to>
      <xdr:col>36</xdr:col>
      <xdr:colOff>373380</xdr:colOff>
      <xdr:row>52</xdr:row>
      <xdr:rowOff>152399</xdr:rowOff>
    </xdr:to>
    <xdr:graphicFrame macro="">
      <xdr:nvGraphicFramePr>
        <xdr:cNvPr id="11" name="Chart 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82549</xdr:colOff>
      <xdr:row>34</xdr:row>
      <xdr:rowOff>71664</xdr:rowOff>
    </xdr:from>
    <xdr:to>
      <xdr:col>18</xdr:col>
      <xdr:colOff>138430</xdr:colOff>
      <xdr:row>47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523240</xdr:colOff>
      <xdr:row>34</xdr:row>
      <xdr:rowOff>55244</xdr:rowOff>
    </xdr:from>
    <xdr:to>
      <xdr:col>9</xdr:col>
      <xdr:colOff>412750</xdr:colOff>
      <xdr:row>47</xdr:row>
      <xdr:rowOff>133350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25400</xdr:colOff>
      <xdr:row>63</xdr:row>
      <xdr:rowOff>279400</xdr:rowOff>
    </xdr:from>
    <xdr:to>
      <xdr:col>15</xdr:col>
      <xdr:colOff>273050</xdr:colOff>
      <xdr:row>79</xdr:row>
      <xdr:rowOff>45720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0</xdr:colOff>
      <xdr:row>32</xdr:row>
      <xdr:rowOff>158749</xdr:rowOff>
    </xdr:from>
    <xdr:to>
      <xdr:col>29</xdr:col>
      <xdr:colOff>238124</xdr:colOff>
      <xdr:row>50</xdr:row>
      <xdr:rowOff>160020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782411</xdr:colOff>
      <xdr:row>123</xdr:row>
      <xdr:rowOff>79376</xdr:rowOff>
    </xdr:from>
    <xdr:to>
      <xdr:col>23</xdr:col>
      <xdr:colOff>1065893</xdr:colOff>
      <xdr:row>151</xdr:row>
      <xdr:rowOff>79375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582930</xdr:colOff>
      <xdr:row>2</xdr:row>
      <xdr:rowOff>326390</xdr:rowOff>
    </xdr:from>
    <xdr:to>
      <xdr:col>43</xdr:col>
      <xdr:colOff>552450</xdr:colOff>
      <xdr:row>24</xdr:row>
      <xdr:rowOff>143510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84</xdr:row>
      <xdr:rowOff>22225</xdr:rowOff>
    </xdr:from>
    <xdr:to>
      <xdr:col>23</xdr:col>
      <xdr:colOff>374649</xdr:colOff>
      <xdr:row>97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1F8C16-C5C8-4446-94C4-B94EFE9F3D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282575</xdr:colOff>
      <xdr:row>17</xdr:row>
      <xdr:rowOff>88900</xdr:rowOff>
    </xdr:from>
    <xdr:to>
      <xdr:col>8</xdr:col>
      <xdr:colOff>127001</xdr:colOff>
      <xdr:row>31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686E5F-D3C6-4C27-93A6-3E4CE8776C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390524</xdr:colOff>
      <xdr:row>17</xdr:row>
      <xdr:rowOff>50800</xdr:rowOff>
    </xdr:from>
    <xdr:to>
      <xdr:col>19</xdr:col>
      <xdr:colOff>590549</xdr:colOff>
      <xdr:row>31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A5A73E-AD79-4F88-9199-8956F01D64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292100</xdr:colOff>
      <xdr:row>32</xdr:row>
      <xdr:rowOff>171450</xdr:rowOff>
    </xdr:from>
    <xdr:to>
      <xdr:col>8</xdr:col>
      <xdr:colOff>184149</xdr:colOff>
      <xdr:row>48</xdr:row>
      <xdr:rowOff>69850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DB8F25-0F48-42A8-AD65-D776ED19AA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390524</xdr:colOff>
      <xdr:row>32</xdr:row>
      <xdr:rowOff>127000</xdr:rowOff>
    </xdr:from>
    <xdr:to>
      <xdr:col>19</xdr:col>
      <xdr:colOff>317500</xdr:colOff>
      <xdr:row>48</xdr:row>
      <xdr:rowOff>25400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1F2C42-C246-49C4-AFEC-7414A4F2EE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333375</xdr:colOff>
      <xdr:row>1</xdr:row>
      <xdr:rowOff>149861</xdr:rowOff>
    </xdr:from>
    <xdr:to>
      <xdr:col>31</xdr:col>
      <xdr:colOff>287867</xdr:colOff>
      <xdr:row>20</xdr:row>
      <xdr:rowOff>152401</xdr:rowOff>
    </xdr:to>
    <xdr:graphicFrame macro="">
      <xdr:nvGraphicFramePr>
        <xdr:cNvPr id="23721" name="Chart 1">
          <a:extLst>
            <a:ext uri="{FF2B5EF4-FFF2-40B4-BE49-F238E27FC236}">
              <a16:creationId xmlns:a16="http://schemas.microsoft.com/office/drawing/2014/main" id="{00000000-0008-0000-0900-0000A9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311575</xdr:colOff>
      <xdr:row>22</xdr:row>
      <xdr:rowOff>22859</xdr:rowOff>
    </xdr:from>
    <xdr:to>
      <xdr:col>31</xdr:col>
      <xdr:colOff>313268</xdr:colOff>
      <xdr:row>40</xdr:row>
      <xdr:rowOff>67733</xdr:rowOff>
    </xdr:to>
    <xdr:graphicFrame macro="">
      <xdr:nvGraphicFramePr>
        <xdr:cNvPr id="23722" name="Chart 2">
          <a:extLst>
            <a:ext uri="{FF2B5EF4-FFF2-40B4-BE49-F238E27FC236}">
              <a16:creationId xmlns:a16="http://schemas.microsoft.com/office/drawing/2014/main" id="{00000000-0008-0000-0900-0000AA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848147</xdr:colOff>
      <xdr:row>24</xdr:row>
      <xdr:rowOff>153881</xdr:rowOff>
    </xdr:from>
    <xdr:to>
      <xdr:col>28</xdr:col>
      <xdr:colOff>795867</xdr:colOff>
      <xdr:row>42</xdr:row>
      <xdr:rowOff>160867</xdr:rowOff>
    </xdr:to>
    <xdr:graphicFrame macro="">
      <xdr:nvGraphicFramePr>
        <xdr:cNvPr id="29865" name="Chart 1">
          <a:extLst>
            <a:ext uri="{FF2B5EF4-FFF2-40B4-BE49-F238E27FC236}">
              <a16:creationId xmlns:a16="http://schemas.microsoft.com/office/drawing/2014/main" id="{00000000-0008-0000-0A00-0000A97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819150</xdr:colOff>
      <xdr:row>1</xdr:row>
      <xdr:rowOff>11431</xdr:rowOff>
    </xdr:from>
    <xdr:to>
      <xdr:col>28</xdr:col>
      <xdr:colOff>778933</xdr:colOff>
      <xdr:row>23</xdr:row>
      <xdr:rowOff>160867</xdr:rowOff>
    </xdr:to>
    <xdr:graphicFrame macro="">
      <xdr:nvGraphicFramePr>
        <xdr:cNvPr id="29866" name="Chart 2">
          <a:extLst>
            <a:ext uri="{FF2B5EF4-FFF2-40B4-BE49-F238E27FC236}">
              <a16:creationId xmlns:a16="http://schemas.microsoft.com/office/drawing/2014/main" id="{00000000-0008-0000-0A00-0000AA7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717974</xdr:colOff>
      <xdr:row>22</xdr:row>
      <xdr:rowOff>44026</xdr:rowOff>
    </xdr:from>
    <xdr:to>
      <xdr:col>31</xdr:col>
      <xdr:colOff>601134</xdr:colOff>
      <xdr:row>38</xdr:row>
      <xdr:rowOff>84667</xdr:rowOff>
    </xdr:to>
    <xdr:graphicFrame macro="">
      <xdr:nvGraphicFramePr>
        <xdr:cNvPr id="24661" name="Chart 1">
          <a:extLst>
            <a:ext uri="{FF2B5EF4-FFF2-40B4-BE49-F238E27FC236}">
              <a16:creationId xmlns:a16="http://schemas.microsoft.com/office/drawing/2014/main" id="{00000000-0008-0000-0B00-0000556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660400</xdr:colOff>
      <xdr:row>4</xdr:row>
      <xdr:rowOff>12701</xdr:rowOff>
    </xdr:from>
    <xdr:to>
      <xdr:col>31</xdr:col>
      <xdr:colOff>482600</xdr:colOff>
      <xdr:row>21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698500</xdr:colOff>
      <xdr:row>1</xdr:row>
      <xdr:rowOff>130175</xdr:rowOff>
    </xdr:from>
    <xdr:to>
      <xdr:col>31</xdr:col>
      <xdr:colOff>220133</xdr:colOff>
      <xdr:row>17</xdr:row>
      <xdr:rowOff>59266</xdr:rowOff>
    </xdr:to>
    <xdr:graphicFrame macro="">
      <xdr:nvGraphicFramePr>
        <xdr:cNvPr id="17493" name="Chart 1">
          <a:extLst>
            <a:ext uri="{FF2B5EF4-FFF2-40B4-BE49-F238E27FC236}">
              <a16:creationId xmlns:a16="http://schemas.microsoft.com/office/drawing/2014/main" id="{00000000-0008-0000-0C00-0000554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706967</xdr:colOff>
      <xdr:row>18</xdr:row>
      <xdr:rowOff>101600</xdr:rowOff>
    </xdr:from>
    <xdr:to>
      <xdr:col>31</xdr:col>
      <xdr:colOff>254000</xdr:colOff>
      <xdr:row>33</xdr:row>
      <xdr:rowOff>59267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325751</xdr:colOff>
      <xdr:row>8</xdr:row>
      <xdr:rowOff>154303</xdr:rowOff>
    </xdr:from>
    <xdr:to>
      <xdr:col>18</xdr:col>
      <xdr:colOff>95249</xdr:colOff>
      <xdr:row>26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333374</xdr:colOff>
      <xdr:row>8</xdr:row>
      <xdr:rowOff>97155</xdr:rowOff>
    </xdr:from>
    <xdr:to>
      <xdr:col>33</xdr:col>
      <xdr:colOff>241300</xdr:colOff>
      <xdr:row>27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355600</xdr:colOff>
      <xdr:row>23</xdr:row>
      <xdr:rowOff>3174</xdr:rowOff>
    </xdr:from>
    <xdr:to>
      <xdr:col>12</xdr:col>
      <xdr:colOff>514350</xdr:colOff>
      <xdr:row>44</xdr:row>
      <xdr:rowOff>101600</xdr:rowOff>
    </xdr:to>
    <xdr:graphicFrame macro="">
      <xdr:nvGraphicFramePr>
        <xdr:cNvPr id="33963" name="Chart 1">
          <a:extLst>
            <a:ext uri="{FF2B5EF4-FFF2-40B4-BE49-F238E27FC236}">
              <a16:creationId xmlns:a16="http://schemas.microsoft.com/office/drawing/2014/main" id="{00000000-0008-0000-0E00-0000AB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321733</xdr:colOff>
      <xdr:row>22</xdr:row>
      <xdr:rowOff>0</xdr:rowOff>
    </xdr:from>
    <xdr:to>
      <xdr:col>25</xdr:col>
      <xdr:colOff>60960</xdr:colOff>
      <xdr:row>42</xdr:row>
      <xdr:rowOff>42333</xdr:rowOff>
    </xdr:to>
    <xdr:graphicFrame macro="">
      <xdr:nvGraphicFramePr>
        <xdr:cNvPr id="33964" name="Chart 2">
          <a:extLst>
            <a:ext uri="{FF2B5EF4-FFF2-40B4-BE49-F238E27FC236}">
              <a16:creationId xmlns:a16="http://schemas.microsoft.com/office/drawing/2014/main" id="{00000000-0008-0000-0E00-0000AC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19050</xdr:rowOff>
    </xdr:from>
    <xdr:to>
      <xdr:col>11</xdr:col>
      <xdr:colOff>387350</xdr:colOff>
      <xdr:row>42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E77A9C-B73F-437C-AD01-B2675EDFE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374650</xdr:colOff>
      <xdr:row>24</xdr:row>
      <xdr:rowOff>0</xdr:rowOff>
    </xdr:from>
    <xdr:to>
      <xdr:col>25</xdr:col>
      <xdr:colOff>38100</xdr:colOff>
      <xdr:row>42</xdr:row>
      <xdr:rowOff>107950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4DAA893-DD5E-4ADB-9508-E20810346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43179</xdr:colOff>
      <xdr:row>20</xdr:row>
      <xdr:rowOff>165100</xdr:rowOff>
    </xdr:from>
    <xdr:to>
      <xdr:col>19</xdr:col>
      <xdr:colOff>528954</xdr:colOff>
      <xdr:row>41</xdr:row>
      <xdr:rowOff>153670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114299</xdr:colOff>
      <xdr:row>0</xdr:row>
      <xdr:rowOff>190501</xdr:rowOff>
    </xdr:from>
    <xdr:to>
      <xdr:col>19</xdr:col>
      <xdr:colOff>600074</xdr:colOff>
      <xdr:row>18</xdr:row>
      <xdr:rowOff>60960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89535</xdr:colOff>
      <xdr:row>45</xdr:row>
      <xdr:rowOff>80011</xdr:rowOff>
    </xdr:from>
    <xdr:to>
      <xdr:col>19</xdr:col>
      <xdr:colOff>575310</xdr:colOff>
      <xdr:row>65</xdr:row>
      <xdr:rowOff>7621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609599</xdr:colOff>
      <xdr:row>66</xdr:row>
      <xdr:rowOff>19051</xdr:rowOff>
    </xdr:from>
    <xdr:to>
      <xdr:col>19</xdr:col>
      <xdr:colOff>552450</xdr:colOff>
      <xdr:row>89</xdr:row>
      <xdr:rowOff>114300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415924</xdr:colOff>
      <xdr:row>144</xdr:row>
      <xdr:rowOff>142875</xdr:rowOff>
    </xdr:from>
    <xdr:to>
      <xdr:col>17</xdr:col>
      <xdr:colOff>203200</xdr:colOff>
      <xdr:row>158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F77EA5-101C-4D3C-BD6C-88980F113C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415924</xdr:colOff>
      <xdr:row>158</xdr:row>
      <xdr:rowOff>130175</xdr:rowOff>
    </xdr:from>
    <xdr:to>
      <xdr:col>14</xdr:col>
      <xdr:colOff>514350</xdr:colOff>
      <xdr:row>169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97CE74-4184-4FD4-9598-9A52F352FE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89957</xdr:colOff>
      <xdr:row>24</xdr:row>
      <xdr:rowOff>152400</xdr:rowOff>
    </xdr:from>
    <xdr:to>
      <xdr:col>27</xdr:col>
      <xdr:colOff>575734</xdr:colOff>
      <xdr:row>39</xdr:row>
      <xdr:rowOff>101600</xdr:rowOff>
    </xdr:to>
    <xdr:graphicFrame macro="">
      <xdr:nvGraphicFramePr>
        <xdr:cNvPr id="12457" name="Chart 1">
          <a:extLst>
            <a:ext uri="{FF2B5EF4-FFF2-40B4-BE49-F238E27FC236}">
              <a16:creationId xmlns:a16="http://schemas.microsoft.com/office/drawing/2014/main" id="{00000000-0008-0000-1100-0000A9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179492</xdr:colOff>
      <xdr:row>24</xdr:row>
      <xdr:rowOff>143934</xdr:rowOff>
    </xdr:from>
    <xdr:to>
      <xdr:col>13</xdr:col>
      <xdr:colOff>423332</xdr:colOff>
      <xdr:row>39</xdr:row>
      <xdr:rowOff>135467</xdr:rowOff>
    </xdr:to>
    <xdr:graphicFrame macro="">
      <xdr:nvGraphicFramePr>
        <xdr:cNvPr id="12458" name="Chart 2">
          <a:extLst>
            <a:ext uri="{FF2B5EF4-FFF2-40B4-BE49-F238E27FC236}">
              <a16:creationId xmlns:a16="http://schemas.microsoft.com/office/drawing/2014/main" id="{00000000-0008-0000-1100-0000AA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469898</xdr:colOff>
      <xdr:row>22</xdr:row>
      <xdr:rowOff>2</xdr:rowOff>
    </xdr:from>
    <xdr:to>
      <xdr:col>9</xdr:col>
      <xdr:colOff>257174</xdr:colOff>
      <xdr:row>36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428621</xdr:colOff>
      <xdr:row>36</xdr:row>
      <xdr:rowOff>174624</xdr:rowOff>
    </xdr:from>
    <xdr:to>
      <xdr:col>9</xdr:col>
      <xdr:colOff>241298</xdr:colOff>
      <xdr:row>52</xdr:row>
      <xdr:rowOff>95251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11906</xdr:colOff>
      <xdr:row>45</xdr:row>
      <xdr:rowOff>111126</xdr:rowOff>
    </xdr:from>
    <xdr:to>
      <xdr:col>20</xdr:col>
      <xdr:colOff>277812</xdr:colOff>
      <xdr:row>64</xdr:row>
      <xdr:rowOff>15875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35873</xdr:colOff>
      <xdr:row>22</xdr:row>
      <xdr:rowOff>11648</xdr:rowOff>
    </xdr:from>
    <xdr:to>
      <xdr:col>20</xdr:col>
      <xdr:colOff>293688</xdr:colOff>
      <xdr:row>45</xdr:row>
      <xdr:rowOff>31751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125410</xdr:colOff>
      <xdr:row>21</xdr:row>
      <xdr:rowOff>40482</xdr:rowOff>
    </xdr:from>
    <xdr:to>
      <xdr:col>29</xdr:col>
      <xdr:colOff>857250</xdr:colOff>
      <xdr:row>41</xdr:row>
      <xdr:rowOff>139700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23</xdr:row>
      <xdr:rowOff>174625</xdr:rowOff>
    </xdr:from>
    <xdr:to>
      <xdr:col>14</xdr:col>
      <xdr:colOff>390525</xdr:colOff>
      <xdr:row>37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2D730A-BC95-4BDA-9430-6A65BC2337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606425</xdr:colOff>
      <xdr:row>37</xdr:row>
      <xdr:rowOff>174625</xdr:rowOff>
    </xdr:from>
    <xdr:to>
      <xdr:col>14</xdr:col>
      <xdr:colOff>358775</xdr:colOff>
      <xdr:row>50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B49E2E5-2E6E-4AA1-B486-48F2F9DA0A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34925</xdr:colOff>
      <xdr:row>51</xdr:row>
      <xdr:rowOff>73025</xdr:rowOff>
    </xdr:from>
    <xdr:to>
      <xdr:col>14</xdr:col>
      <xdr:colOff>374650</xdr:colOff>
      <xdr:row>61</xdr:row>
      <xdr:rowOff>88900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3BAC40-2D0C-49DB-860A-C4D62D16D4E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44450</xdr:colOff>
      <xdr:row>19</xdr:row>
      <xdr:rowOff>327025</xdr:rowOff>
    </xdr:from>
    <xdr:to>
      <xdr:col>34</xdr:col>
      <xdr:colOff>200025</xdr:colOff>
      <xdr:row>33</xdr:row>
      <xdr:rowOff>136525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7AFBD5-D4D3-47D3-95C2-8BD706264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419100</xdr:colOff>
      <xdr:row>12</xdr:row>
      <xdr:rowOff>85725</xdr:rowOff>
    </xdr:from>
    <xdr:to>
      <xdr:col>16</xdr:col>
      <xdr:colOff>527050</xdr:colOff>
      <xdr:row>26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55B082-995B-49C8-BCD5-508FF1912D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19051</xdr:colOff>
      <xdr:row>27</xdr:row>
      <xdr:rowOff>130175</xdr:rowOff>
    </xdr:from>
    <xdr:to>
      <xdr:col>21</xdr:col>
      <xdr:colOff>12701</xdr:colOff>
      <xdr:row>39</xdr:row>
      <xdr:rowOff>228600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6CC4F4-F124-4B68-95DA-BFB85C884C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339724</xdr:colOff>
      <xdr:row>40</xdr:row>
      <xdr:rowOff>127000</xdr:rowOff>
    </xdr:from>
    <xdr:to>
      <xdr:col>20</xdr:col>
      <xdr:colOff>190499</xdr:colOff>
      <xdr:row>51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27040E7-0FEE-409C-9B70-1E47CB7DEF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344170</xdr:colOff>
      <xdr:row>34</xdr:row>
      <xdr:rowOff>38101</xdr:rowOff>
    </xdr:from>
    <xdr:to>
      <xdr:col>24</xdr:col>
      <xdr:colOff>406400</xdr:colOff>
      <xdr:row>50</xdr:row>
      <xdr:rowOff>107950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350521</xdr:colOff>
      <xdr:row>51</xdr:row>
      <xdr:rowOff>92074</xdr:rowOff>
    </xdr:from>
    <xdr:to>
      <xdr:col>24</xdr:col>
      <xdr:colOff>419100</xdr:colOff>
      <xdr:row>61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309245</xdr:colOff>
      <xdr:row>17</xdr:row>
      <xdr:rowOff>91440</xdr:rowOff>
    </xdr:from>
    <xdr:to>
      <xdr:col>24</xdr:col>
      <xdr:colOff>419100</xdr:colOff>
      <xdr:row>32</xdr:row>
      <xdr:rowOff>120650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359411</xdr:colOff>
      <xdr:row>61</xdr:row>
      <xdr:rowOff>114300</xdr:rowOff>
    </xdr:from>
    <xdr:to>
      <xdr:col>24</xdr:col>
      <xdr:colOff>450850</xdr:colOff>
      <xdr:row>76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230504</xdr:colOff>
      <xdr:row>153</xdr:row>
      <xdr:rowOff>41911</xdr:rowOff>
    </xdr:from>
    <xdr:to>
      <xdr:col>23</xdr:col>
      <xdr:colOff>41910</xdr:colOff>
      <xdr:row>164</xdr:row>
      <xdr:rowOff>91441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314325</xdr:colOff>
      <xdr:row>77</xdr:row>
      <xdr:rowOff>9525</xdr:rowOff>
    </xdr:from>
    <xdr:to>
      <xdr:col>23</xdr:col>
      <xdr:colOff>250825</xdr:colOff>
      <xdr:row>94</xdr:row>
      <xdr:rowOff>53975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22A24F2-3FDD-4E8C-8609-5731354B09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514351</xdr:colOff>
      <xdr:row>27</xdr:row>
      <xdr:rowOff>133348</xdr:rowOff>
    </xdr:from>
    <xdr:to>
      <xdr:col>10</xdr:col>
      <xdr:colOff>298450</xdr:colOff>
      <xdr:row>48</xdr:row>
      <xdr:rowOff>106680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520700</xdr:colOff>
      <xdr:row>49</xdr:row>
      <xdr:rowOff>66041</xdr:rowOff>
    </xdr:from>
    <xdr:to>
      <xdr:col>10</xdr:col>
      <xdr:colOff>323850</xdr:colOff>
      <xdr:row>68</xdr:row>
      <xdr:rowOff>146050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441324</xdr:colOff>
      <xdr:row>1</xdr:row>
      <xdr:rowOff>3174</xdr:rowOff>
    </xdr:from>
    <xdr:to>
      <xdr:col>32</xdr:col>
      <xdr:colOff>463550</xdr:colOff>
      <xdr:row>19</xdr:row>
      <xdr:rowOff>158750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27058A-9480-42F9-AC7A-E55468012B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425450</xdr:colOff>
      <xdr:row>19</xdr:row>
      <xdr:rowOff>174625</xdr:rowOff>
    </xdr:from>
    <xdr:to>
      <xdr:col>32</xdr:col>
      <xdr:colOff>469900</xdr:colOff>
      <xdr:row>39</xdr:row>
      <xdr:rowOff>168275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0F1614-4CAF-4D91-B50B-21DE698B5B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130174</xdr:colOff>
      <xdr:row>152</xdr:row>
      <xdr:rowOff>117475</xdr:rowOff>
    </xdr:from>
    <xdr:to>
      <xdr:col>24</xdr:col>
      <xdr:colOff>374650</xdr:colOff>
      <xdr:row>164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F7066C9-1055-4FDB-B706-71B6BA065F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34925</xdr:colOff>
      <xdr:row>171</xdr:row>
      <xdr:rowOff>111125</xdr:rowOff>
    </xdr:from>
    <xdr:to>
      <xdr:col>24</xdr:col>
      <xdr:colOff>231775</xdr:colOff>
      <xdr:row>187</xdr:row>
      <xdr:rowOff>9525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6BE93D9-E8A7-47DA-A849-5C8650EE9D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352425</xdr:colOff>
      <xdr:row>187</xdr:row>
      <xdr:rowOff>104775</xdr:rowOff>
    </xdr:from>
    <xdr:to>
      <xdr:col>24</xdr:col>
      <xdr:colOff>180975</xdr:colOff>
      <xdr:row>203</xdr:row>
      <xdr:rowOff>3175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9CD94A-19C9-4751-9B51-D792DB2334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669924</xdr:colOff>
      <xdr:row>132</xdr:row>
      <xdr:rowOff>92075</xdr:rowOff>
    </xdr:from>
    <xdr:to>
      <xdr:col>24</xdr:col>
      <xdr:colOff>228599</xdr:colOff>
      <xdr:row>147</xdr:row>
      <xdr:rowOff>168275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8029802-528F-4F65-B636-6AC4AD517A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473074</xdr:colOff>
      <xdr:row>152</xdr:row>
      <xdr:rowOff>120650</xdr:rowOff>
    </xdr:from>
    <xdr:to>
      <xdr:col>32</xdr:col>
      <xdr:colOff>539749</xdr:colOff>
      <xdr:row>164</xdr:row>
      <xdr:rowOff>133349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18CE9ED-BD33-4C8D-A4F3-E0C05681DE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396874</xdr:colOff>
      <xdr:row>41</xdr:row>
      <xdr:rowOff>15875</xdr:rowOff>
    </xdr:from>
    <xdr:to>
      <xdr:col>32</xdr:col>
      <xdr:colOff>476250</xdr:colOff>
      <xdr:row>56</xdr:row>
      <xdr:rowOff>25400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A8AD16-DAA2-4BBA-9DA5-C678627062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688974</xdr:colOff>
      <xdr:row>16</xdr:row>
      <xdr:rowOff>139700</xdr:rowOff>
    </xdr:from>
    <xdr:to>
      <xdr:col>9</xdr:col>
      <xdr:colOff>190500</xdr:colOff>
      <xdr:row>30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965093-CAA6-48F1-8F32-011EE75556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22</xdr:row>
      <xdr:rowOff>107951</xdr:rowOff>
    </xdr:from>
    <xdr:to>
      <xdr:col>8</xdr:col>
      <xdr:colOff>342900</xdr:colOff>
      <xdr:row>39</xdr:row>
      <xdr:rowOff>25401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482599</xdr:colOff>
      <xdr:row>40</xdr:row>
      <xdr:rowOff>50801</xdr:rowOff>
    </xdr:from>
    <xdr:to>
      <xdr:col>8</xdr:col>
      <xdr:colOff>253999</xdr:colOff>
      <xdr:row>54</xdr:row>
      <xdr:rowOff>158751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581025</xdr:colOff>
      <xdr:row>58</xdr:row>
      <xdr:rowOff>53975</xdr:rowOff>
    </xdr:from>
    <xdr:to>
      <xdr:col>7</xdr:col>
      <xdr:colOff>136525</xdr:colOff>
      <xdr:row>69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4F828E-5BF0-4F93-A8F5-AD4F9D007B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565150</xdr:colOff>
      <xdr:row>70</xdr:row>
      <xdr:rowOff>85725</xdr:rowOff>
    </xdr:from>
    <xdr:to>
      <xdr:col>7</xdr:col>
      <xdr:colOff>120650</xdr:colOff>
      <xdr:row>81</xdr:row>
      <xdr:rowOff>139700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0AC5E6-DC69-43A9-AFD3-E104532903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552450</xdr:colOff>
      <xdr:row>82</xdr:row>
      <xdr:rowOff>117475</xdr:rowOff>
    </xdr:from>
    <xdr:to>
      <xdr:col>7</xdr:col>
      <xdr:colOff>107950</xdr:colOff>
      <xdr:row>95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E4786B4-1FD0-4852-9E2B-799B7C55B4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149225</xdr:colOff>
      <xdr:row>98</xdr:row>
      <xdr:rowOff>127000</xdr:rowOff>
    </xdr:from>
    <xdr:to>
      <xdr:col>16</xdr:col>
      <xdr:colOff>231775</xdr:colOff>
      <xdr:row>113</xdr:row>
      <xdr:rowOff>82550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38FD65-B99C-4484-86CA-D5769122F0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160020</xdr:colOff>
      <xdr:row>57</xdr:row>
      <xdr:rowOff>76200</xdr:rowOff>
    </xdr:from>
    <xdr:to>
      <xdr:col>44</xdr:col>
      <xdr:colOff>234950</xdr:colOff>
      <xdr:row>70</xdr:row>
      <xdr:rowOff>25400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461010</xdr:colOff>
      <xdr:row>37</xdr:row>
      <xdr:rowOff>148590</xdr:rowOff>
    </xdr:from>
    <xdr:to>
      <xdr:col>57</xdr:col>
      <xdr:colOff>203200</xdr:colOff>
      <xdr:row>53</xdr:row>
      <xdr:rowOff>87630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215900</xdr:colOff>
      <xdr:row>20</xdr:row>
      <xdr:rowOff>86360</xdr:rowOff>
    </xdr:from>
    <xdr:to>
      <xdr:col>22</xdr:col>
      <xdr:colOff>328930</xdr:colOff>
      <xdr:row>35</xdr:row>
      <xdr:rowOff>109220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27940</xdr:colOff>
      <xdr:row>0</xdr:row>
      <xdr:rowOff>0</xdr:rowOff>
    </xdr:from>
    <xdr:to>
      <xdr:col>51</xdr:col>
      <xdr:colOff>35560</xdr:colOff>
      <xdr:row>15</xdr:row>
      <xdr:rowOff>15240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352424</xdr:colOff>
      <xdr:row>0</xdr:row>
      <xdr:rowOff>57151</xdr:rowOff>
    </xdr:from>
    <xdr:to>
      <xdr:col>20</xdr:col>
      <xdr:colOff>228600</xdr:colOff>
      <xdr:row>16</xdr:row>
      <xdr:rowOff>69850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342899</xdr:colOff>
      <xdr:row>17</xdr:row>
      <xdr:rowOff>50800</xdr:rowOff>
    </xdr:from>
    <xdr:to>
      <xdr:col>20</xdr:col>
      <xdr:colOff>107950</xdr:colOff>
      <xdr:row>41</xdr:row>
      <xdr:rowOff>25400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358775</xdr:colOff>
      <xdr:row>44</xdr:row>
      <xdr:rowOff>60326</xdr:rowOff>
    </xdr:from>
    <xdr:to>
      <xdr:col>20</xdr:col>
      <xdr:colOff>301624</xdr:colOff>
      <xdr:row>62</xdr:row>
      <xdr:rowOff>120650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390524</xdr:colOff>
      <xdr:row>63</xdr:row>
      <xdr:rowOff>165101</xdr:rowOff>
    </xdr:from>
    <xdr:to>
      <xdr:col>18</xdr:col>
      <xdr:colOff>82549</xdr:colOff>
      <xdr:row>91</xdr:row>
      <xdr:rowOff>79376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76</xdr:row>
      <xdr:rowOff>0</xdr:rowOff>
    </xdr:from>
    <xdr:to>
      <xdr:col>11</xdr:col>
      <xdr:colOff>492126</xdr:colOff>
      <xdr:row>93</xdr:row>
      <xdr:rowOff>6350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C0D5F9F-DBC9-4287-A1AB-D1CB22BA2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295275</xdr:colOff>
      <xdr:row>39</xdr:row>
      <xdr:rowOff>12700</xdr:rowOff>
    </xdr:from>
    <xdr:to>
      <xdr:col>17</xdr:col>
      <xdr:colOff>282575</xdr:colOff>
      <xdr:row>47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69FC4B-6C1A-42DA-886C-75B5E61A90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422275</xdr:colOff>
      <xdr:row>38</xdr:row>
      <xdr:rowOff>165100</xdr:rowOff>
    </xdr:from>
    <xdr:to>
      <xdr:col>25</xdr:col>
      <xdr:colOff>117475</xdr:colOff>
      <xdr:row>47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3C7D64-781E-4DFC-A081-C73FFC1027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447675</xdr:colOff>
      <xdr:row>38</xdr:row>
      <xdr:rowOff>158750</xdr:rowOff>
    </xdr:from>
    <xdr:to>
      <xdr:col>33</xdr:col>
      <xdr:colOff>142875</xdr:colOff>
      <xdr:row>47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0EF48C-506D-4AF1-9811-C7F5C5E1E3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15875</xdr:colOff>
      <xdr:row>49</xdr:row>
      <xdr:rowOff>76200</xdr:rowOff>
    </xdr:from>
    <xdr:to>
      <xdr:col>21</xdr:col>
      <xdr:colOff>149225</xdr:colOff>
      <xdr:row>60</xdr:row>
      <xdr:rowOff>146050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EA6B54-D556-48E8-ABFC-CAE0BF0F2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4</xdr:col>
      <xdr:colOff>613185</xdr:colOff>
      <xdr:row>57</xdr:row>
      <xdr:rowOff>76200</xdr:rowOff>
    </xdr:from>
    <xdr:to>
      <xdr:col>13</xdr:col>
      <xdr:colOff>138457</xdr:colOff>
      <xdr:row>74</xdr:row>
      <xdr:rowOff>116748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CB5708F-7FEF-46DB-9F32-87D36DE0C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96135" y="11049000"/>
          <a:ext cx="5233922" cy="3063148"/>
        </a:xfrm>
        <a:prstGeom prst="rect">
          <a:avLst/>
        </a:prstGeom>
      </xdr:spPr>
    </xdr:pic>
    <xdr:clientData/>
  </xdr:twoCellAnchor>
  <xdr:twoCellAnchor>
    <xdr:from>
      <xdr:col>14</xdr:col>
      <xdr:colOff>250825</xdr:colOff>
      <xdr:row>62</xdr:row>
      <xdr:rowOff>31750</xdr:rowOff>
    </xdr:from>
    <xdr:to>
      <xdr:col>21</xdr:col>
      <xdr:colOff>384175</xdr:colOff>
      <xdr:row>74</xdr:row>
      <xdr:rowOff>171450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0BFB432-968E-4339-94A7-CE87FF66AC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581025</xdr:colOff>
      <xdr:row>62</xdr:row>
      <xdr:rowOff>31750</xdr:rowOff>
    </xdr:from>
    <xdr:to>
      <xdr:col>29</xdr:col>
      <xdr:colOff>276225</xdr:colOff>
      <xdr:row>75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2713F86-A569-410E-8C6D-9D10D13A63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488950</xdr:colOff>
      <xdr:row>19</xdr:row>
      <xdr:rowOff>31750</xdr:rowOff>
    </xdr:from>
    <xdr:to>
      <xdr:col>26</xdr:col>
      <xdr:colOff>127000</xdr:colOff>
      <xdr:row>36</xdr:row>
      <xdr:rowOff>127000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200123A-9812-4EB7-A298-D0537C1E2A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38</xdr:row>
      <xdr:rowOff>9525</xdr:rowOff>
    </xdr:from>
    <xdr:to>
      <xdr:col>6</xdr:col>
      <xdr:colOff>422911</xdr:colOff>
      <xdr:row>53</xdr:row>
      <xdr:rowOff>44450</xdr:rowOff>
    </xdr:to>
    <xdr:graphicFrame macro="">
      <xdr:nvGraphicFramePr>
        <xdr:cNvPr id="10" name="Chart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200025</xdr:colOff>
      <xdr:row>38</xdr:row>
      <xdr:rowOff>25400</xdr:rowOff>
    </xdr:from>
    <xdr:to>
      <xdr:col>15</xdr:col>
      <xdr:colOff>374650</xdr:colOff>
      <xdr:row>52</xdr:row>
      <xdr:rowOff>171450</xdr:rowOff>
    </xdr:to>
    <xdr:graphicFrame macro="">
      <xdr:nvGraphicFramePr>
        <xdr:cNvPr id="11" name="Chart 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822325</xdr:colOff>
      <xdr:row>55</xdr:row>
      <xdr:rowOff>69851</xdr:rowOff>
    </xdr:from>
    <xdr:to>
      <xdr:col>7</xdr:col>
      <xdr:colOff>95250</xdr:colOff>
      <xdr:row>71</xdr:row>
      <xdr:rowOff>165100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942974</xdr:colOff>
      <xdr:row>3</xdr:row>
      <xdr:rowOff>130175</xdr:rowOff>
    </xdr:from>
    <xdr:to>
      <xdr:col>29</xdr:col>
      <xdr:colOff>247649</xdr:colOff>
      <xdr:row>18</xdr:row>
      <xdr:rowOff>155575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4A23AE-AA3D-4BDF-B60F-0E0C225EA9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149224</xdr:colOff>
      <xdr:row>1</xdr:row>
      <xdr:rowOff>15875</xdr:rowOff>
    </xdr:from>
    <xdr:to>
      <xdr:col>44</xdr:col>
      <xdr:colOff>63499</xdr:colOff>
      <xdr:row>10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D5B2F5-3754-413C-94BC-369F6F1AFF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168274</xdr:colOff>
      <xdr:row>11</xdr:row>
      <xdr:rowOff>98425</xdr:rowOff>
    </xdr:from>
    <xdr:to>
      <xdr:col>44</xdr:col>
      <xdr:colOff>101599</xdr:colOff>
      <xdr:row>23</xdr:row>
      <xdr:rowOff>146050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DE28D6-7168-4C29-B3DA-EC019C4806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184148</xdr:colOff>
      <xdr:row>42</xdr:row>
      <xdr:rowOff>194310</xdr:rowOff>
    </xdr:from>
    <xdr:to>
      <xdr:col>21</xdr:col>
      <xdr:colOff>38100</xdr:colOff>
      <xdr:row>59</xdr:row>
      <xdr:rowOff>57150</xdr:rowOff>
    </xdr:to>
    <xdr:graphicFrame macro="">
      <xdr:nvGraphicFramePr>
        <xdr:cNvPr id="8" name="Chart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222250</xdr:colOff>
      <xdr:row>43</xdr:row>
      <xdr:rowOff>167640</xdr:rowOff>
    </xdr:from>
    <xdr:to>
      <xdr:col>14</xdr:col>
      <xdr:colOff>190500</xdr:colOff>
      <xdr:row>47</xdr:row>
      <xdr:rowOff>82550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0600" y="8282940"/>
          <a:ext cx="1168400" cy="626110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8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45-50</a:t>
          </a:r>
          <a:r>
            <a:rPr lang="en-US" sz="800"/>
            <a:t> </a:t>
          </a:r>
          <a:r>
            <a:rPr lang="en-US" sz="8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Mesotrophic-Eutrophic</a:t>
          </a:r>
          <a:r>
            <a:rPr lang="en-US" sz="800"/>
            <a:t>  </a:t>
          </a:r>
          <a:r>
            <a:rPr lang="en-US" sz="8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50-65</a:t>
          </a:r>
          <a:r>
            <a:rPr lang="en-US" sz="800"/>
            <a:t> </a:t>
          </a:r>
          <a:r>
            <a:rPr lang="en-US" sz="8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Eutrophic</a:t>
          </a:r>
        </a:p>
        <a:p>
          <a:r>
            <a:rPr lang="en-US" sz="800"/>
            <a:t> </a:t>
          </a:r>
          <a:r>
            <a:rPr lang="en-US" sz="8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65+</a:t>
          </a:r>
          <a:r>
            <a:rPr lang="en-US" sz="800"/>
            <a:t> </a:t>
          </a:r>
          <a:r>
            <a:rPr lang="en-US" sz="8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Hypereutrophic</a:t>
          </a:r>
          <a:r>
            <a:rPr lang="en-US" sz="800"/>
            <a:t> </a:t>
          </a:r>
        </a:p>
      </xdr:txBody>
    </xdr:sp>
    <xdr:clientData/>
  </xdr:twoCellAnchor>
  <xdr:twoCellAnchor>
    <xdr:from>
      <xdr:col>6</xdr:col>
      <xdr:colOff>346075</xdr:colOff>
      <xdr:row>61</xdr:row>
      <xdr:rowOff>54611</xdr:rowOff>
    </xdr:from>
    <xdr:to>
      <xdr:col>22</xdr:col>
      <xdr:colOff>196850</xdr:colOff>
      <xdr:row>75</xdr:row>
      <xdr:rowOff>171451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252730</xdr:colOff>
      <xdr:row>62</xdr:row>
      <xdr:rowOff>232410</xdr:rowOff>
    </xdr:from>
    <xdr:to>
      <xdr:col>16</xdr:col>
      <xdr:colOff>90806</xdr:colOff>
      <xdr:row>65</xdr:row>
      <xdr:rowOff>120650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5631180" y="11878310"/>
          <a:ext cx="1038226" cy="650240"/>
        </a:xfrm>
        <a:prstGeom prst="rect">
          <a:avLst/>
        </a:prstGeom>
        <a:gradFill>
          <a:gsLst>
            <a:gs pos="34000">
              <a:schemeClr val="bg1">
                <a:lumMod val="95000"/>
              </a:schemeClr>
            </a:gs>
            <a:gs pos="50000">
              <a:srgbClr val="4F81BD">
                <a:tint val="44500"/>
                <a:satMod val="160000"/>
              </a:srgbClr>
            </a:gs>
            <a:gs pos="100000">
              <a:srgbClr val="4F81BD">
                <a:tint val="23500"/>
                <a:satMod val="160000"/>
              </a:srgbClr>
            </a:gs>
          </a:gsLst>
          <a:lin ang="5400000" scaled="0"/>
        </a:gra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8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45-50</a:t>
          </a:r>
          <a:r>
            <a:rPr lang="en-US" sz="800"/>
            <a:t> </a:t>
          </a:r>
          <a:r>
            <a:rPr lang="en-US" sz="8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Mesotrophic-Eutrophic</a:t>
          </a:r>
          <a:r>
            <a:rPr lang="en-US" sz="800"/>
            <a:t>  </a:t>
          </a:r>
          <a:r>
            <a:rPr lang="en-US" sz="8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50-65</a:t>
          </a:r>
          <a:r>
            <a:rPr lang="en-US" sz="800"/>
            <a:t> </a:t>
          </a:r>
          <a:r>
            <a:rPr lang="en-US" sz="8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Eutrophic</a:t>
          </a:r>
        </a:p>
        <a:p>
          <a:r>
            <a:rPr lang="en-US" sz="800"/>
            <a:t> </a:t>
          </a:r>
          <a:r>
            <a:rPr lang="en-US" sz="8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65+</a:t>
          </a:r>
          <a:r>
            <a:rPr lang="en-US" sz="800"/>
            <a:t> </a:t>
          </a:r>
          <a:r>
            <a:rPr lang="en-US" sz="8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Hypereutrophic</a:t>
          </a:r>
          <a:r>
            <a:rPr lang="en-US" sz="800"/>
            <a:t> </a:t>
          </a:r>
        </a:p>
      </xdr:txBody>
    </xdr:sp>
    <xdr:clientData/>
  </xdr:twoCellAnchor>
  <xdr:twoCellAnchor>
    <xdr:from>
      <xdr:col>33</xdr:col>
      <xdr:colOff>766630</xdr:colOff>
      <xdr:row>34</xdr:row>
      <xdr:rowOff>17463</xdr:rowOff>
    </xdr:from>
    <xdr:to>
      <xdr:col>43</xdr:col>
      <xdr:colOff>311547</xdr:colOff>
      <xdr:row>47</xdr:row>
      <xdr:rowOff>134673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541A4A-7190-4C72-B7F2-6CCBEE2451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44</xdr:col>
      <xdr:colOff>0</xdr:colOff>
      <xdr:row>30</xdr:row>
      <xdr:rowOff>0</xdr:rowOff>
    </xdr:from>
    <xdr:to>
      <xdr:col>55</xdr:col>
      <xdr:colOff>206771</xdr:colOff>
      <xdr:row>43</xdr:row>
      <xdr:rowOff>117448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3C158F-3AE2-4184-AADF-870C532C4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699427" y="5582708"/>
          <a:ext cx="4572396" cy="2743438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0.61617</cdr:x>
      <cdr:y>0.24597</cdr:y>
    </cdr:from>
    <cdr:to>
      <cdr:x>0.61617</cdr:x>
      <cdr:y>0.24597</cdr:y>
    </cdr:to>
    <cdr:sp macro="" textlink="">
      <cdr:nvSpPr>
        <cdr:cNvPr id="7170" name="Text Box 2">
          <a:extLst xmlns:a="http://schemas.openxmlformats.org/drawingml/2006/main">
            <a:ext uri="{FF2B5EF4-FFF2-40B4-BE49-F238E27FC236}">
              <a16:creationId xmlns:a16="http://schemas.microsoft.com/office/drawing/2014/main" id="{A18814AF-2F06-45A8-BCEB-790C40DAD2D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36768" y="75055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FF0000"/>
              </a:solidFill>
              <a:latin typeface="Arial"/>
              <a:cs typeface="Arial"/>
            </a:rPr>
            <a:t>Eutrophic</a:t>
          </a:r>
        </a:p>
      </cdr:txBody>
    </cdr:sp>
  </cdr:relSizeAnchor>
  <cdr:relSizeAnchor xmlns:cdr="http://schemas.openxmlformats.org/drawingml/2006/chartDrawing">
    <cdr:from>
      <cdr:x>0.47618</cdr:x>
      <cdr:y>0.52397</cdr:y>
    </cdr:from>
    <cdr:to>
      <cdr:x>0.47618</cdr:x>
      <cdr:y>0.52397</cdr:y>
    </cdr:to>
    <cdr:sp macro="" textlink="">
      <cdr:nvSpPr>
        <cdr:cNvPr id="7171" name="Text Box 3">
          <a:extLst xmlns:a="http://schemas.openxmlformats.org/drawingml/2006/main">
            <a:ext uri="{FF2B5EF4-FFF2-40B4-BE49-F238E27FC236}">
              <a16:creationId xmlns:a16="http://schemas.microsoft.com/office/drawing/2014/main" id="{1269A0DD-448B-4EDE-938C-927C25995C8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79387" y="159525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FF0000"/>
              </a:solidFill>
              <a:latin typeface="Arial"/>
              <a:cs typeface="Arial"/>
            </a:rPr>
            <a:t>Mesotropic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0.49607</cdr:x>
      <cdr:y>0.20226</cdr:y>
    </cdr:from>
    <cdr:to>
      <cdr:x>0.49607</cdr:x>
      <cdr:y>0.20226</cdr:y>
    </cdr:to>
    <cdr:sp macro="" textlink="">
      <cdr:nvSpPr>
        <cdr:cNvPr id="6146" name="Text Box 2">
          <a:extLst xmlns:a="http://schemas.openxmlformats.org/drawingml/2006/main">
            <a:ext uri="{FF2B5EF4-FFF2-40B4-BE49-F238E27FC236}">
              <a16:creationId xmlns:a16="http://schemas.microsoft.com/office/drawing/2014/main" id="{513FF264-D4D8-4E8B-BFCC-718D09BEE15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7881" y="61003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1" i="0" strike="noStrike">
              <a:solidFill>
                <a:srgbClr val="FF0000"/>
              </a:solidFill>
              <a:latin typeface="Arial"/>
              <a:cs typeface="Arial"/>
            </a:rPr>
            <a:t>Eutrophic zone</a:t>
          </a:r>
        </a:p>
      </cdr:txBody>
    </cdr:sp>
  </cdr:relSizeAnchor>
  <cdr:relSizeAnchor xmlns:cdr="http://schemas.openxmlformats.org/drawingml/2006/chartDrawing">
    <cdr:from>
      <cdr:x>0.49607</cdr:x>
      <cdr:y>0.5092</cdr:y>
    </cdr:from>
    <cdr:to>
      <cdr:x>0.49607</cdr:x>
      <cdr:y>0.5092</cdr:y>
    </cdr:to>
    <cdr:sp macro="" textlink="">
      <cdr:nvSpPr>
        <cdr:cNvPr id="6147" name="Text Box 3">
          <a:extLst xmlns:a="http://schemas.openxmlformats.org/drawingml/2006/main">
            <a:ext uri="{FF2B5EF4-FFF2-40B4-BE49-F238E27FC236}">
              <a16:creationId xmlns:a16="http://schemas.microsoft.com/office/drawing/2014/main" id="{ABB78786-973E-4A11-B25A-7175E6A6360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7881" y="1530961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1" i="0" strike="noStrike">
              <a:solidFill>
                <a:srgbClr val="FF0000"/>
              </a:solidFill>
              <a:latin typeface="Arial"/>
              <a:cs typeface="Arial"/>
            </a:rPr>
            <a:t>Mesotrophic zone</a:t>
          </a:r>
        </a:p>
      </cdr:txBody>
    </cdr:sp>
  </cdr:relSizeAnchor>
  <cdr:relSizeAnchor xmlns:cdr="http://schemas.openxmlformats.org/drawingml/2006/chartDrawing">
    <cdr:from>
      <cdr:x>0.48698</cdr:x>
      <cdr:y>0.65976</cdr:y>
    </cdr:from>
    <cdr:to>
      <cdr:x>0.48698</cdr:x>
      <cdr:y>0.65976</cdr:y>
    </cdr:to>
    <cdr:sp macro="" textlink="">
      <cdr:nvSpPr>
        <cdr:cNvPr id="6148" name="Text Box 4">
          <a:extLst xmlns:a="http://schemas.openxmlformats.org/drawingml/2006/main">
            <a:ext uri="{FF2B5EF4-FFF2-40B4-BE49-F238E27FC236}">
              <a16:creationId xmlns:a16="http://schemas.microsoft.com/office/drawing/2014/main" id="{7DE2DE22-F3E4-4B48-8FC8-0941ACF79B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07396" y="198270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1" i="0" strike="noStrike">
              <a:solidFill>
                <a:srgbClr val="FF0000"/>
              </a:solidFill>
              <a:latin typeface="Arial"/>
              <a:cs typeface="Arial"/>
            </a:rPr>
            <a:t>Oligotropic zone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219075</xdr:colOff>
      <xdr:row>53</xdr:row>
      <xdr:rowOff>106681</xdr:rowOff>
    </xdr:from>
    <xdr:to>
      <xdr:col>43</xdr:col>
      <xdr:colOff>228600</xdr:colOff>
      <xdr:row>67</xdr:row>
      <xdr:rowOff>44451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200025</xdr:colOff>
      <xdr:row>33</xdr:row>
      <xdr:rowOff>57150</xdr:rowOff>
    </xdr:from>
    <xdr:to>
      <xdr:col>47</xdr:col>
      <xdr:colOff>203200</xdr:colOff>
      <xdr:row>52</xdr:row>
      <xdr:rowOff>142875</xdr:rowOff>
    </xdr:to>
    <xdr:graphicFrame macro="">
      <xdr:nvGraphicFramePr>
        <xdr:cNvPr id="7" name="Chart 3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549275</xdr:colOff>
      <xdr:row>34</xdr:row>
      <xdr:rowOff>47625</xdr:rowOff>
    </xdr:from>
    <xdr:to>
      <xdr:col>70</xdr:col>
      <xdr:colOff>244475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1E4271-F20A-431B-B773-A944E34B2A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53</xdr:col>
      <xdr:colOff>133350</xdr:colOff>
      <xdr:row>35</xdr:row>
      <xdr:rowOff>50800</xdr:rowOff>
    </xdr:from>
    <xdr:to>
      <xdr:col>62</xdr:col>
      <xdr:colOff>76596</xdr:colOff>
      <xdr:row>50</xdr:row>
      <xdr:rowOff>127238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576754-5E50-4694-A7C3-97BFC2107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345650" y="6870700"/>
          <a:ext cx="4572396" cy="2743438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0.32385</cdr:x>
      <cdr:y>0.5757</cdr:y>
    </cdr:from>
    <cdr:to>
      <cdr:x>0.32385</cdr:x>
      <cdr:y>0.5757</cdr:y>
    </cdr:to>
    <cdr:sp macro="" textlink="">
      <cdr:nvSpPr>
        <cdr:cNvPr id="10241" name="Text Box 1">
          <a:extLst xmlns:a="http://schemas.openxmlformats.org/drawingml/2006/main">
            <a:ext uri="{FF2B5EF4-FFF2-40B4-BE49-F238E27FC236}">
              <a16:creationId xmlns:a16="http://schemas.microsoft.com/office/drawing/2014/main" id="{DE1C76F6-1A0C-4AE1-A151-8851E6B67B5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0350" y="1862093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Arial"/>
              <a:cs typeface="Arial"/>
            </a:rPr>
            <a:t>Mesotrophic/Eutrophic Boundary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ussell/Documents/Bear%20Creek%20Association/Watershed%202009/2009%20Bear%20Creek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 Trophic"/>
      <sheetName val="Annual Reservoir Trends"/>
      <sheetName val="Nitrate Trends"/>
      <sheetName val="Phosphorus Trends"/>
      <sheetName val="Loading"/>
      <sheetName val="Carlson"/>
      <sheetName val="Walker"/>
      <sheetName val="Monthly Discharge"/>
      <sheetName val="Temperature"/>
      <sheetName val="Conductance"/>
      <sheetName val="pH"/>
      <sheetName val="Oxygen"/>
      <sheetName val="T &amp; Diss Phosphorus"/>
      <sheetName val="Nitrate &amp; T Nitrogen"/>
      <sheetName val="TSS"/>
      <sheetName val="Chlsecchi"/>
      <sheetName val="Phytoplankton"/>
      <sheetName val="Monthly Chemistry"/>
      <sheetName val="1-26-09"/>
      <sheetName val="2-23-09"/>
      <sheetName val="3-16-09"/>
      <sheetName val="4-27-09"/>
      <sheetName val="Aeration Tests"/>
      <sheetName val="5-18-09"/>
      <sheetName val="6-22-09"/>
      <sheetName val="7-6-09"/>
      <sheetName val="7-20-09"/>
      <sheetName val="8-3-09"/>
      <sheetName val="8-17-09"/>
      <sheetName val="9-16-09"/>
      <sheetName val="9-28-09"/>
      <sheetName val="10-19-09"/>
      <sheetName val="11-16-09"/>
      <sheetName val="12-14-09"/>
      <sheetName val="Field Sheet"/>
      <sheetName val="Temp DO Comp"/>
      <sheetName val="Aeartion Log"/>
      <sheetName val="Flow"/>
      <sheetName val="Fishery Data"/>
      <sheetName val="Sheet1"/>
    </sheetNames>
    <sheetDataSet>
      <sheetData sheetId="0"/>
      <sheetData sheetId="1"/>
      <sheetData sheetId="2"/>
      <sheetData sheetId="3"/>
      <sheetData sheetId="4">
        <row r="4">
          <cell r="A4" t="str">
            <v>Turkey Creek Inflow</v>
          </cell>
        </row>
        <row r="5">
          <cell r="A5" t="str">
            <v>Bear Creek Inflow</v>
          </cell>
        </row>
      </sheetData>
      <sheetData sheetId="5"/>
      <sheetData sheetId="6">
        <row r="2">
          <cell r="X2">
            <v>1988</v>
          </cell>
        </row>
      </sheetData>
      <sheetData sheetId="7">
        <row r="23">
          <cell r="B23" t="str">
            <v>Jan</v>
          </cell>
          <cell r="C23" t="str">
            <v>Feb</v>
          </cell>
          <cell r="D23" t="str">
            <v>Mar</v>
          </cell>
          <cell r="E23" t="str">
            <v>Apr</v>
          </cell>
          <cell r="F23" t="str">
            <v>May</v>
          </cell>
          <cell r="G23" t="str">
            <v>Jun</v>
          </cell>
          <cell r="H23" t="str">
            <v>Jul</v>
          </cell>
          <cell r="I23" t="str">
            <v>Aug</v>
          </cell>
          <cell r="J23" t="str">
            <v>Sep</v>
          </cell>
          <cell r="K23" t="str">
            <v>Oct</v>
          </cell>
          <cell r="L23" t="str">
            <v>Nov</v>
          </cell>
          <cell r="M23" t="str">
            <v>Dec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0"/>
  <sheetViews>
    <sheetView topLeftCell="A41" workbookViewId="0">
      <selection activeCell="B53" sqref="B53"/>
    </sheetView>
  </sheetViews>
  <sheetFormatPr defaultRowHeight="14"/>
  <cols>
    <col min="1" max="1" width="61.08984375" bestFit="1" customWidth="1"/>
    <col min="2" max="2" width="21.26953125" bestFit="1" customWidth="1"/>
  </cols>
  <sheetData>
    <row r="1" spans="1:2" ht="15">
      <c r="A1" s="2227" t="s">
        <v>1859</v>
      </c>
      <c r="B1" s="2227"/>
    </row>
    <row r="2" spans="1:2">
      <c r="A2" s="2230" t="s">
        <v>278</v>
      </c>
      <c r="B2" s="2230"/>
    </row>
    <row r="3" spans="1:2" ht="15">
      <c r="A3" s="1147" t="s">
        <v>416</v>
      </c>
      <c r="B3" s="1148" t="s">
        <v>6</v>
      </c>
    </row>
    <row r="4" spans="1:2">
      <c r="A4" s="2225" t="s">
        <v>394</v>
      </c>
      <c r="B4" s="2225"/>
    </row>
    <row r="5" spans="1:2" ht="14.25" customHeight="1">
      <c r="A5" s="114" t="s">
        <v>276</v>
      </c>
      <c r="B5" s="115">
        <v>13.9</v>
      </c>
    </row>
    <row r="6" spans="1:2">
      <c r="A6" s="114" t="s">
        <v>277</v>
      </c>
      <c r="B6" s="115">
        <v>14.8</v>
      </c>
    </row>
    <row r="7" spans="1:2">
      <c r="A7" s="90" t="s">
        <v>7</v>
      </c>
      <c r="B7" s="115">
        <v>31</v>
      </c>
    </row>
    <row r="8" spans="1:2">
      <c r="A8" s="2225" t="s">
        <v>63</v>
      </c>
      <c r="B8" s="2225"/>
    </row>
    <row r="9" spans="1:2" ht="19.5" customHeight="1">
      <c r="A9" s="90" t="s">
        <v>275</v>
      </c>
      <c r="B9" s="238">
        <v>65.099999999999994</v>
      </c>
    </row>
    <row r="10" spans="1:2">
      <c r="A10" s="90" t="s">
        <v>272</v>
      </c>
      <c r="B10" s="1146">
        <v>38.700000000000003</v>
      </c>
    </row>
    <row r="11" spans="1:2">
      <c r="A11" s="90" t="s">
        <v>273</v>
      </c>
      <c r="B11" s="1146">
        <v>91.5</v>
      </c>
    </row>
    <row r="12" spans="1:2">
      <c r="A12" s="90" t="s">
        <v>274</v>
      </c>
      <c r="B12" s="1146">
        <v>89.6</v>
      </c>
    </row>
    <row r="13" spans="1:2">
      <c r="A13" s="90" t="s">
        <v>270</v>
      </c>
      <c r="B13" s="1146">
        <v>33.799999999999997</v>
      </c>
    </row>
    <row r="14" spans="1:2">
      <c r="A14" s="90" t="s">
        <v>271</v>
      </c>
      <c r="B14" s="1146">
        <v>145.30000000000001</v>
      </c>
    </row>
    <row r="15" spans="1:2">
      <c r="A15" s="90" t="s">
        <v>267</v>
      </c>
      <c r="B15" s="1146">
        <v>543</v>
      </c>
    </row>
    <row r="16" spans="1:2">
      <c r="A16" s="2225" t="s">
        <v>177</v>
      </c>
      <c r="B16" s="2226"/>
    </row>
    <row r="17" spans="1:4">
      <c r="A17" s="90" t="s">
        <v>269</v>
      </c>
      <c r="B17" s="136">
        <v>726</v>
      </c>
    </row>
    <row r="18" spans="1:4">
      <c r="A18" s="90" t="s">
        <v>265</v>
      </c>
      <c r="B18" s="136">
        <v>733</v>
      </c>
    </row>
    <row r="19" spans="1:4">
      <c r="A19" s="90" t="s">
        <v>266</v>
      </c>
      <c r="B19" s="136">
        <v>719</v>
      </c>
    </row>
    <row r="20" spans="1:4">
      <c r="A20" s="90" t="s">
        <v>279</v>
      </c>
      <c r="B20" s="136">
        <v>467</v>
      </c>
    </row>
    <row r="21" spans="1:4">
      <c r="A21" s="90" t="s">
        <v>280</v>
      </c>
      <c r="B21" s="136">
        <v>507</v>
      </c>
    </row>
    <row r="22" spans="1:4">
      <c r="A22" s="90" t="s">
        <v>281</v>
      </c>
      <c r="B22" s="136">
        <v>428</v>
      </c>
    </row>
    <row r="23" spans="1:4">
      <c r="A23" s="2225" t="s">
        <v>395</v>
      </c>
      <c r="B23" s="2226"/>
    </row>
    <row r="24" spans="1:4">
      <c r="A24" s="90" t="s">
        <v>133</v>
      </c>
      <c r="B24" s="214">
        <v>1.44</v>
      </c>
    </row>
    <row r="25" spans="1:4">
      <c r="A25" s="90" t="s">
        <v>282</v>
      </c>
      <c r="B25" s="214">
        <v>1.37</v>
      </c>
    </row>
    <row r="26" spans="1:4">
      <c r="A26" s="2225" t="s">
        <v>396</v>
      </c>
      <c r="B26" s="2225"/>
    </row>
    <row r="27" spans="1:4">
      <c r="A27" s="90" t="s">
        <v>397</v>
      </c>
      <c r="B27" s="454">
        <v>10.65</v>
      </c>
      <c r="D27" s="471"/>
    </row>
    <row r="28" spans="1:4">
      <c r="A28" s="90" t="s">
        <v>399</v>
      </c>
      <c r="B28" s="454">
        <v>7.78</v>
      </c>
    </row>
    <row r="29" spans="1:4">
      <c r="A29" s="90" t="s">
        <v>398</v>
      </c>
      <c r="B29" s="454">
        <v>6.67</v>
      </c>
    </row>
    <row r="30" spans="1:4">
      <c r="A30" s="2225" t="s">
        <v>138</v>
      </c>
      <c r="B30" s="2225"/>
    </row>
    <row r="31" spans="1:4">
      <c r="A31" s="90" t="s">
        <v>397</v>
      </c>
      <c r="B31" s="214">
        <v>8.26</v>
      </c>
    </row>
    <row r="32" spans="1:4">
      <c r="A32" s="90" t="s">
        <v>399</v>
      </c>
      <c r="B32" s="214">
        <v>8.73</v>
      </c>
    </row>
    <row r="33" spans="1:2">
      <c r="A33" s="90" t="s">
        <v>548</v>
      </c>
      <c r="B33" s="214">
        <v>8.4700000000000006</v>
      </c>
    </row>
    <row r="34" spans="1:2">
      <c r="A34" s="2223" t="s">
        <v>400</v>
      </c>
      <c r="B34" s="2224"/>
    </row>
    <row r="35" spans="1:2">
      <c r="A35" s="90" t="s">
        <v>401</v>
      </c>
      <c r="B35" s="115">
        <v>884.5</v>
      </c>
    </row>
    <row r="36" spans="1:2">
      <c r="A36" s="90" t="s">
        <v>402</v>
      </c>
      <c r="B36" s="115">
        <v>887.5</v>
      </c>
    </row>
    <row r="37" spans="1:2">
      <c r="A37" s="90" t="s">
        <v>403</v>
      </c>
      <c r="B37" s="115">
        <v>230.1</v>
      </c>
    </row>
    <row r="38" spans="1:2">
      <c r="A38" s="2225" t="s">
        <v>117</v>
      </c>
      <c r="B38" s="2225"/>
    </row>
    <row r="39" spans="1:2">
      <c r="A39" s="2228" t="s">
        <v>1869</v>
      </c>
      <c r="B39" s="1314" t="s">
        <v>1269</v>
      </c>
    </row>
    <row r="40" spans="1:2">
      <c r="A40" s="2229"/>
      <c r="B40" s="1314" t="s">
        <v>1434</v>
      </c>
    </row>
    <row r="41" spans="1:2">
      <c r="A41" s="2229"/>
      <c r="B41" s="1314" t="s">
        <v>974</v>
      </c>
    </row>
    <row r="42" spans="1:2">
      <c r="A42" s="2229"/>
      <c r="B42" s="1314" t="s">
        <v>973</v>
      </c>
    </row>
    <row r="43" spans="1:2" s="1969" customFormat="1">
      <c r="A43" s="2229"/>
      <c r="B43" s="1315" t="s">
        <v>1865</v>
      </c>
    </row>
    <row r="44" spans="1:2">
      <c r="A44" s="2229"/>
      <c r="B44" s="1314" t="s">
        <v>1420</v>
      </c>
    </row>
    <row r="45" spans="1:2" s="1969" customFormat="1">
      <c r="A45" s="2229"/>
      <c r="B45" s="1315" t="s">
        <v>1866</v>
      </c>
    </row>
    <row r="46" spans="1:2" s="1969" customFormat="1">
      <c r="A46" s="2229"/>
      <c r="B46" s="1315" t="s">
        <v>1867</v>
      </c>
    </row>
    <row r="47" spans="1:2">
      <c r="A47" s="2229"/>
      <c r="B47" s="1314" t="s">
        <v>1423</v>
      </c>
    </row>
    <row r="48" spans="1:2">
      <c r="A48" s="2229"/>
      <c r="B48" s="1315" t="s">
        <v>975</v>
      </c>
    </row>
    <row r="49" spans="1:4">
      <c r="A49" s="2229"/>
      <c r="B49" s="1315" t="s">
        <v>1836</v>
      </c>
    </row>
    <row r="50" spans="1:4" s="1969" customFormat="1">
      <c r="A50" s="2229"/>
      <c r="B50" s="1315" t="s">
        <v>1868</v>
      </c>
    </row>
    <row r="51" spans="1:4">
      <c r="A51" s="2225" t="s">
        <v>417</v>
      </c>
      <c r="B51" s="2225"/>
    </row>
    <row r="52" spans="1:4">
      <c r="A52" s="2164" t="s">
        <v>974</v>
      </c>
      <c r="B52" s="98" t="s">
        <v>1870</v>
      </c>
      <c r="D52" s="1316"/>
    </row>
    <row r="53" spans="1:4" ht="25">
      <c r="A53" s="2165" t="s">
        <v>1867</v>
      </c>
      <c r="B53" s="604" t="s">
        <v>1871</v>
      </c>
    </row>
    <row r="54" spans="1:4">
      <c r="A54" s="2223" t="s">
        <v>415</v>
      </c>
      <c r="B54" s="2224"/>
    </row>
    <row r="55" spans="1:4">
      <c r="A55" s="145" t="s">
        <v>409</v>
      </c>
      <c r="B55" s="343">
        <v>32236</v>
      </c>
    </row>
    <row r="56" spans="1:4">
      <c r="A56" s="145" t="s">
        <v>410</v>
      </c>
      <c r="B56" s="343">
        <v>26728</v>
      </c>
    </row>
    <row r="57" spans="1:4">
      <c r="A57" s="145" t="s">
        <v>411</v>
      </c>
      <c r="B57" s="343">
        <v>5508</v>
      </c>
    </row>
    <row r="58" spans="1:4">
      <c r="A58" s="145" t="s">
        <v>412</v>
      </c>
      <c r="B58" s="343">
        <v>2052</v>
      </c>
    </row>
    <row r="59" spans="1:4">
      <c r="A59" s="145" t="s">
        <v>413</v>
      </c>
      <c r="B59" s="343">
        <v>1262</v>
      </c>
    </row>
    <row r="60" spans="1:4">
      <c r="A60" s="145" t="s">
        <v>414</v>
      </c>
      <c r="B60" s="343">
        <v>789</v>
      </c>
    </row>
  </sheetData>
  <mergeCells count="13">
    <mergeCell ref="A54:B54"/>
    <mergeCell ref="A51:B51"/>
    <mergeCell ref="A23:B23"/>
    <mergeCell ref="A38:B38"/>
    <mergeCell ref="A1:B1"/>
    <mergeCell ref="A4:B4"/>
    <mergeCell ref="A8:B8"/>
    <mergeCell ref="A16:B16"/>
    <mergeCell ref="A39:A50"/>
    <mergeCell ref="A2:B2"/>
    <mergeCell ref="A26:B26"/>
    <mergeCell ref="A30:B30"/>
    <mergeCell ref="A34:B34"/>
  </mergeCells>
  <phoneticPr fontId="11" type="noConversion"/>
  <pageMargins left="0.5" right="0.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T19"/>
  <sheetViews>
    <sheetView topLeftCell="A4" workbookViewId="0">
      <selection activeCell="N21" sqref="N21"/>
    </sheetView>
  </sheetViews>
  <sheetFormatPr defaultRowHeight="14"/>
  <cols>
    <col min="1" max="1" width="9.90625" bestFit="1" customWidth="1"/>
    <col min="2" max="2" width="10.36328125" bestFit="1" customWidth="1"/>
    <col min="3" max="3" width="11.453125" bestFit="1" customWidth="1"/>
    <col min="4" max="4" width="6.1796875" bestFit="1" customWidth="1"/>
    <col min="5" max="5" width="5.90625" customWidth="1"/>
    <col min="6" max="6" width="10.36328125" bestFit="1" customWidth="1"/>
    <col min="7" max="7" width="11.453125" bestFit="1" customWidth="1"/>
    <col min="8" max="8" width="6.1796875" bestFit="1" customWidth="1"/>
    <col min="9" max="9" width="6.7265625" customWidth="1"/>
    <col min="10" max="10" width="10.36328125" bestFit="1" customWidth="1"/>
    <col min="11" max="11" width="12.54296875" customWidth="1"/>
    <col min="12" max="12" width="6.1796875" bestFit="1" customWidth="1"/>
    <col min="13" max="13" width="5.90625" customWidth="1"/>
    <col min="14" max="14" width="10.90625" customWidth="1"/>
    <col min="15" max="15" width="12.81640625" customWidth="1"/>
    <col min="16" max="16" width="6.1796875" bestFit="1" customWidth="1"/>
    <col min="17" max="17" width="6.26953125" customWidth="1"/>
    <col min="19" max="19" width="3.1796875" bestFit="1" customWidth="1"/>
    <col min="20" max="20" width="55.81640625" bestFit="1" customWidth="1"/>
  </cols>
  <sheetData>
    <row r="1" spans="1:20" ht="14.5" thickBot="1">
      <c r="A1" s="91"/>
      <c r="B1" s="2296" t="s">
        <v>862</v>
      </c>
      <c r="C1" s="2296"/>
      <c r="D1" s="2296"/>
      <c r="E1" s="2296"/>
      <c r="F1" s="2296" t="s">
        <v>866</v>
      </c>
      <c r="G1" s="2296"/>
      <c r="H1" s="2296"/>
      <c r="I1" s="2296"/>
      <c r="J1" s="2296" t="s">
        <v>867</v>
      </c>
      <c r="K1" s="2296"/>
      <c r="L1" s="2296"/>
      <c r="M1" s="2296"/>
      <c r="N1" s="2296" t="s">
        <v>868</v>
      </c>
      <c r="O1" s="2296"/>
      <c r="P1" s="2296"/>
      <c r="Q1" s="2296"/>
      <c r="S1" s="2295" t="s">
        <v>699</v>
      </c>
      <c r="T1" s="2295"/>
    </row>
    <row r="2" spans="1:20" ht="14.5" thickBot="1">
      <c r="A2" s="2296" t="s">
        <v>132</v>
      </c>
      <c r="B2" s="2296" t="s">
        <v>711</v>
      </c>
      <c r="C2" s="2296"/>
      <c r="D2" s="2296" t="s">
        <v>710</v>
      </c>
      <c r="E2" s="2296" t="s">
        <v>865</v>
      </c>
      <c r="F2" s="2296" t="s">
        <v>711</v>
      </c>
      <c r="G2" s="2296"/>
      <c r="H2" s="2296" t="s">
        <v>710</v>
      </c>
      <c r="I2" s="2296" t="s">
        <v>865</v>
      </c>
      <c r="J2" s="2296" t="s">
        <v>711</v>
      </c>
      <c r="K2" s="2296"/>
      <c r="L2" s="2296" t="s">
        <v>710</v>
      </c>
      <c r="M2" s="2296" t="s">
        <v>865</v>
      </c>
      <c r="N2" s="2296" t="s">
        <v>711</v>
      </c>
      <c r="O2" s="2296"/>
      <c r="P2" s="2296" t="s">
        <v>710</v>
      </c>
      <c r="Q2" s="2296" t="s">
        <v>865</v>
      </c>
      <c r="S2" s="477">
        <v>0</v>
      </c>
      <c r="T2" s="476" t="s">
        <v>700</v>
      </c>
    </row>
    <row r="3" spans="1:20" ht="13.75" customHeight="1" thickBot="1">
      <c r="A3" s="2296"/>
      <c r="B3" s="95" t="s">
        <v>863</v>
      </c>
      <c r="C3" s="95" t="s">
        <v>864</v>
      </c>
      <c r="D3" s="2296"/>
      <c r="E3" s="2296"/>
      <c r="F3" s="95" t="s">
        <v>863</v>
      </c>
      <c r="G3" s="95" t="s">
        <v>864</v>
      </c>
      <c r="H3" s="2296"/>
      <c r="I3" s="2296"/>
      <c r="J3" s="95" t="s">
        <v>863</v>
      </c>
      <c r="K3" s="95" t="s">
        <v>864</v>
      </c>
      <c r="L3" s="2296"/>
      <c r="M3" s="2296"/>
      <c r="N3" s="95" t="s">
        <v>863</v>
      </c>
      <c r="O3" s="95" t="s">
        <v>864</v>
      </c>
      <c r="P3" s="2296"/>
      <c r="Q3" s="2296"/>
      <c r="S3" s="477">
        <v>1</v>
      </c>
      <c r="T3" s="476" t="s">
        <v>701</v>
      </c>
    </row>
    <row r="4" spans="1:20" ht="14.5" thickBot="1">
      <c r="A4" s="1284">
        <v>43472</v>
      </c>
      <c r="B4" s="1195">
        <v>1</v>
      </c>
      <c r="C4" s="358">
        <v>5</v>
      </c>
      <c r="D4" s="358" t="s">
        <v>849</v>
      </c>
      <c r="E4" s="358">
        <v>8</v>
      </c>
      <c r="F4" s="1195">
        <v>0.03</v>
      </c>
      <c r="G4" s="358">
        <v>1</v>
      </c>
      <c r="H4" s="358" t="s">
        <v>849</v>
      </c>
      <c r="I4" s="358">
        <v>15</v>
      </c>
      <c r="J4" s="1195">
        <v>0.8</v>
      </c>
      <c r="K4" s="358">
        <v>5</v>
      </c>
      <c r="L4" s="358" t="s">
        <v>850</v>
      </c>
      <c r="M4" s="358">
        <v>50</v>
      </c>
      <c r="N4" s="1195">
        <v>0.5</v>
      </c>
      <c r="O4" s="358">
        <v>5</v>
      </c>
      <c r="P4" s="358" t="s">
        <v>849</v>
      </c>
      <c r="Q4" s="358">
        <v>20</v>
      </c>
      <c r="S4" s="477">
        <v>1.5</v>
      </c>
      <c r="T4" s="476" t="s">
        <v>869</v>
      </c>
    </row>
    <row r="5" spans="1:20" ht="14.5" thickBot="1">
      <c r="A5" s="1284">
        <v>43507</v>
      </c>
      <c r="B5" s="1195">
        <v>0.7</v>
      </c>
      <c r="C5" s="358">
        <v>4</v>
      </c>
      <c r="D5" s="358" t="s">
        <v>849</v>
      </c>
      <c r="E5" s="358">
        <v>8</v>
      </c>
      <c r="F5" s="1195">
        <v>0.12</v>
      </c>
      <c r="G5" s="358">
        <v>2</v>
      </c>
      <c r="H5" s="358" t="s">
        <v>849</v>
      </c>
      <c r="I5" s="358">
        <v>8</v>
      </c>
      <c r="J5" s="1195">
        <v>0.9</v>
      </c>
      <c r="K5" s="358">
        <v>4</v>
      </c>
      <c r="L5" s="358" t="s">
        <v>850</v>
      </c>
      <c r="M5" s="358">
        <v>50</v>
      </c>
      <c r="N5" s="1195">
        <v>0.15</v>
      </c>
      <c r="O5" s="358">
        <v>3</v>
      </c>
      <c r="P5" s="358" t="s">
        <v>849</v>
      </c>
      <c r="Q5" s="358">
        <v>20</v>
      </c>
      <c r="S5" s="477">
        <v>2</v>
      </c>
      <c r="T5" s="476" t="s">
        <v>703</v>
      </c>
    </row>
    <row r="6" spans="1:20" ht="14.5" thickBot="1">
      <c r="A6" s="1284">
        <v>43545</v>
      </c>
      <c r="B6" s="1195">
        <v>0.1</v>
      </c>
      <c r="C6" s="358">
        <v>2</v>
      </c>
      <c r="D6" s="358" t="s">
        <v>850</v>
      </c>
      <c r="E6" s="358">
        <v>8</v>
      </c>
      <c r="F6" s="1195">
        <v>0.12</v>
      </c>
      <c r="G6" s="358">
        <v>2</v>
      </c>
      <c r="H6" s="358" t="s">
        <v>850</v>
      </c>
      <c r="I6" s="358">
        <v>12</v>
      </c>
      <c r="J6" s="1195">
        <v>1</v>
      </c>
      <c r="K6" s="358">
        <v>5</v>
      </c>
      <c r="L6" s="358" t="s">
        <v>856</v>
      </c>
      <c r="M6" s="358">
        <v>50</v>
      </c>
      <c r="N6" s="1195">
        <v>0.25</v>
      </c>
      <c r="O6" s="358">
        <v>4</v>
      </c>
      <c r="P6" s="358" t="s">
        <v>850</v>
      </c>
      <c r="Q6" s="358">
        <v>20</v>
      </c>
      <c r="S6" s="477">
        <v>3</v>
      </c>
      <c r="T6" s="476" t="s">
        <v>704</v>
      </c>
    </row>
    <row r="7" spans="1:20" ht="14.5" thickBot="1">
      <c r="A7" s="1284">
        <v>43563</v>
      </c>
      <c r="B7" s="1195">
        <v>0.2</v>
      </c>
      <c r="C7" s="358">
        <v>3</v>
      </c>
      <c r="D7" s="358" t="s">
        <v>850</v>
      </c>
      <c r="E7" s="358">
        <v>8</v>
      </c>
      <c r="F7" s="1195">
        <v>0.1</v>
      </c>
      <c r="G7" s="358">
        <v>2</v>
      </c>
      <c r="H7" s="358" t="s">
        <v>850</v>
      </c>
      <c r="I7" s="358">
        <v>10</v>
      </c>
      <c r="J7" s="1195">
        <v>1</v>
      </c>
      <c r="K7" s="358">
        <v>5</v>
      </c>
      <c r="L7" s="358" t="s">
        <v>850</v>
      </c>
      <c r="M7" s="358">
        <v>50</v>
      </c>
      <c r="N7" s="1195">
        <v>0.2</v>
      </c>
      <c r="O7" s="358">
        <v>3</v>
      </c>
      <c r="P7" s="358" t="s">
        <v>850</v>
      </c>
      <c r="Q7" s="358">
        <v>25</v>
      </c>
      <c r="S7" s="477">
        <v>4</v>
      </c>
      <c r="T7" s="476" t="s">
        <v>705</v>
      </c>
    </row>
    <row r="8" spans="1:20" ht="14.5" thickBot="1">
      <c r="A8" s="1284">
        <v>43591</v>
      </c>
      <c r="B8" s="1195">
        <v>0.9</v>
      </c>
      <c r="C8" s="358">
        <v>5</v>
      </c>
      <c r="D8" s="358" t="s">
        <v>850</v>
      </c>
      <c r="E8" s="358">
        <v>8</v>
      </c>
      <c r="F8" s="1195">
        <v>0.08</v>
      </c>
      <c r="G8" s="358">
        <v>3</v>
      </c>
      <c r="H8" s="358" t="s">
        <v>850</v>
      </c>
      <c r="I8" s="358">
        <v>12</v>
      </c>
      <c r="J8" s="1195">
        <v>1</v>
      </c>
      <c r="K8" s="358">
        <v>5</v>
      </c>
      <c r="L8" s="358" t="s">
        <v>850</v>
      </c>
      <c r="M8" s="358">
        <v>50</v>
      </c>
      <c r="N8" s="1195">
        <v>0.15</v>
      </c>
      <c r="O8" s="358">
        <v>3</v>
      </c>
      <c r="P8" s="358" t="s">
        <v>850</v>
      </c>
      <c r="Q8" s="358">
        <v>25</v>
      </c>
      <c r="S8" s="477">
        <v>5</v>
      </c>
      <c r="T8" s="476" t="s">
        <v>706</v>
      </c>
    </row>
    <row r="9" spans="1:20">
      <c r="A9" s="1284">
        <v>43626</v>
      </c>
      <c r="B9" s="1195">
        <v>0.3</v>
      </c>
      <c r="C9" s="358">
        <v>5</v>
      </c>
      <c r="D9" s="358" t="s">
        <v>850</v>
      </c>
      <c r="E9" s="358">
        <v>8</v>
      </c>
      <c r="F9" s="1195">
        <v>0.05</v>
      </c>
      <c r="G9" s="358">
        <v>1.5</v>
      </c>
      <c r="H9" s="358" t="s">
        <v>856</v>
      </c>
      <c r="I9" s="358">
        <v>20</v>
      </c>
      <c r="J9" s="1195">
        <v>0.3</v>
      </c>
      <c r="K9" s="358">
        <v>5</v>
      </c>
      <c r="L9" s="358" t="s">
        <v>856</v>
      </c>
      <c r="M9" s="358">
        <v>50</v>
      </c>
      <c r="N9" s="1195">
        <v>0.2</v>
      </c>
      <c r="O9" s="358">
        <v>2</v>
      </c>
      <c r="P9" s="358" t="s">
        <v>856</v>
      </c>
      <c r="Q9" s="358">
        <v>20</v>
      </c>
    </row>
    <row r="10" spans="1:20">
      <c r="A10" s="1284">
        <v>43654</v>
      </c>
      <c r="B10" s="1195">
        <v>0.8</v>
      </c>
      <c r="C10" s="358">
        <v>5</v>
      </c>
      <c r="D10" s="358" t="s">
        <v>850</v>
      </c>
      <c r="E10" s="358">
        <v>8</v>
      </c>
      <c r="F10" s="1195">
        <v>0.05</v>
      </c>
      <c r="G10" s="358">
        <v>2</v>
      </c>
      <c r="H10" s="358" t="s">
        <v>850</v>
      </c>
      <c r="I10" s="358">
        <v>25</v>
      </c>
      <c r="J10" s="1195">
        <v>0.3</v>
      </c>
      <c r="K10" s="358">
        <v>3</v>
      </c>
      <c r="L10" s="358" t="s">
        <v>850</v>
      </c>
      <c r="M10" s="358">
        <v>50</v>
      </c>
      <c r="N10" s="1195">
        <v>0.2</v>
      </c>
      <c r="O10" s="358">
        <v>3</v>
      </c>
      <c r="P10" s="358" t="s">
        <v>850</v>
      </c>
      <c r="Q10" s="358">
        <v>25</v>
      </c>
    </row>
    <row r="11" spans="1:20">
      <c r="A11" s="1284">
        <v>43661</v>
      </c>
      <c r="B11" s="1195">
        <v>1</v>
      </c>
      <c r="C11" s="358">
        <v>5</v>
      </c>
      <c r="D11" s="358" t="s">
        <v>849</v>
      </c>
      <c r="E11" s="358">
        <v>7</v>
      </c>
      <c r="F11" s="1195">
        <v>0.08</v>
      </c>
      <c r="G11" s="358">
        <v>2</v>
      </c>
      <c r="H11" s="358" t="s">
        <v>856</v>
      </c>
      <c r="I11" s="358">
        <v>20</v>
      </c>
      <c r="J11" s="1195">
        <v>0.3</v>
      </c>
      <c r="K11" s="358">
        <v>3</v>
      </c>
      <c r="L11" s="358" t="s">
        <v>850</v>
      </c>
      <c r="M11" s="358">
        <v>50</v>
      </c>
      <c r="N11" s="1195">
        <v>0.35</v>
      </c>
      <c r="O11" s="358">
        <v>4</v>
      </c>
      <c r="P11" s="358" t="s">
        <v>850</v>
      </c>
      <c r="Q11" s="358">
        <v>25</v>
      </c>
    </row>
    <row r="12" spans="1:20">
      <c r="A12" s="1284">
        <v>43682</v>
      </c>
      <c r="B12" s="1195">
        <v>0.6</v>
      </c>
      <c r="C12" s="358">
        <v>5</v>
      </c>
      <c r="D12" s="358" t="s">
        <v>856</v>
      </c>
      <c r="E12" s="358">
        <v>8</v>
      </c>
      <c r="F12" s="1195">
        <v>0.08</v>
      </c>
      <c r="G12" s="238">
        <v>2</v>
      </c>
      <c r="H12" s="358" t="s">
        <v>856</v>
      </c>
      <c r="I12" s="358">
        <v>15</v>
      </c>
      <c r="J12" s="1195">
        <v>0.9</v>
      </c>
      <c r="K12" s="358">
        <v>5</v>
      </c>
      <c r="L12" s="358" t="s">
        <v>850</v>
      </c>
      <c r="M12" s="358">
        <v>50</v>
      </c>
      <c r="N12" s="1195">
        <v>0.5</v>
      </c>
      <c r="O12" s="358">
        <v>5</v>
      </c>
      <c r="P12" s="358" t="s">
        <v>850</v>
      </c>
      <c r="Q12" s="358">
        <v>25</v>
      </c>
    </row>
    <row r="13" spans="1:20">
      <c r="A13" s="1284">
        <v>43690</v>
      </c>
      <c r="B13" s="1195">
        <v>0.7</v>
      </c>
      <c r="C13" s="358">
        <v>5</v>
      </c>
      <c r="D13" s="358" t="s">
        <v>850</v>
      </c>
      <c r="E13" s="358">
        <v>7</v>
      </c>
      <c r="F13" s="1195">
        <v>0.1</v>
      </c>
      <c r="G13" s="238">
        <v>3</v>
      </c>
      <c r="H13" s="358" t="s">
        <v>850</v>
      </c>
      <c r="I13" s="358">
        <v>15</v>
      </c>
      <c r="J13" s="1195">
        <v>0.5</v>
      </c>
      <c r="K13" s="358">
        <v>5</v>
      </c>
      <c r="L13" s="358" t="s">
        <v>856</v>
      </c>
      <c r="M13" s="358">
        <v>50</v>
      </c>
      <c r="N13" s="1195">
        <v>0.2</v>
      </c>
      <c r="O13" s="358">
        <v>5</v>
      </c>
      <c r="P13" s="358" t="s">
        <v>850</v>
      </c>
      <c r="Q13" s="358">
        <v>20</v>
      </c>
    </row>
    <row r="14" spans="1:20">
      <c r="A14" s="1284">
        <v>43717</v>
      </c>
      <c r="B14" s="1195">
        <v>0.3</v>
      </c>
      <c r="C14" s="358">
        <v>4</v>
      </c>
      <c r="D14" s="358" t="s">
        <v>849</v>
      </c>
      <c r="E14" s="358">
        <v>6</v>
      </c>
      <c r="F14" s="1195">
        <v>0.1</v>
      </c>
      <c r="G14" s="238">
        <v>2</v>
      </c>
      <c r="H14" s="358" t="s">
        <v>856</v>
      </c>
      <c r="I14" s="358">
        <v>12</v>
      </c>
      <c r="J14" s="1195">
        <v>0.3</v>
      </c>
      <c r="K14" s="358">
        <v>5</v>
      </c>
      <c r="L14" s="358" t="s">
        <v>856</v>
      </c>
      <c r="M14" s="358">
        <v>50</v>
      </c>
      <c r="N14" s="1195">
        <v>0.2</v>
      </c>
      <c r="O14" s="358">
        <v>3</v>
      </c>
      <c r="P14" s="358" t="s">
        <v>850</v>
      </c>
      <c r="Q14" s="358">
        <v>25</v>
      </c>
    </row>
    <row r="15" spans="1:20">
      <c r="A15" s="1284">
        <v>43724</v>
      </c>
      <c r="B15" s="1195">
        <v>0.9</v>
      </c>
      <c r="C15" s="358">
        <v>5</v>
      </c>
      <c r="D15" s="358" t="s">
        <v>849</v>
      </c>
      <c r="E15" s="358">
        <v>6</v>
      </c>
      <c r="F15" s="1195">
        <v>0.08</v>
      </c>
      <c r="G15" s="358">
        <v>2</v>
      </c>
      <c r="H15" s="358" t="s">
        <v>849</v>
      </c>
      <c r="I15" s="358">
        <v>10</v>
      </c>
      <c r="J15" s="1195">
        <v>1</v>
      </c>
      <c r="K15" s="358">
        <v>5</v>
      </c>
      <c r="L15" s="358" t="s">
        <v>856</v>
      </c>
      <c r="M15" s="358">
        <v>50</v>
      </c>
      <c r="N15" s="1195">
        <v>1</v>
      </c>
      <c r="O15" s="358">
        <v>5</v>
      </c>
      <c r="P15" s="358" t="s">
        <v>849</v>
      </c>
      <c r="Q15" s="358">
        <v>30</v>
      </c>
    </row>
    <row r="16" spans="1:20">
      <c r="A16" s="1284">
        <v>43752</v>
      </c>
      <c r="B16" s="1195">
        <v>1</v>
      </c>
      <c r="C16" s="358">
        <v>5</v>
      </c>
      <c r="D16" s="358" t="s">
        <v>849</v>
      </c>
      <c r="E16" s="358">
        <v>6</v>
      </c>
      <c r="F16" s="1195">
        <v>0.08</v>
      </c>
      <c r="G16" s="238">
        <v>1.5</v>
      </c>
      <c r="H16" s="358" t="s">
        <v>850</v>
      </c>
      <c r="I16" s="358">
        <v>12</v>
      </c>
      <c r="J16" s="1195">
        <v>0.8</v>
      </c>
      <c r="K16" s="358">
        <v>5</v>
      </c>
      <c r="L16" s="358" t="s">
        <v>856</v>
      </c>
      <c r="M16" s="358">
        <v>50</v>
      </c>
      <c r="N16" s="1195">
        <v>0.3</v>
      </c>
      <c r="O16" s="358">
        <v>4</v>
      </c>
      <c r="P16" s="358" t="s">
        <v>850</v>
      </c>
      <c r="Q16" s="358">
        <v>20</v>
      </c>
    </row>
    <row r="17" spans="1:17">
      <c r="A17" s="1284">
        <v>43783</v>
      </c>
      <c r="B17" s="1195">
        <v>0.6</v>
      </c>
      <c r="C17" s="358">
        <v>4</v>
      </c>
      <c r="D17" s="358" t="s">
        <v>849</v>
      </c>
      <c r="E17" s="358">
        <v>6</v>
      </c>
      <c r="F17" s="1195">
        <v>0.25</v>
      </c>
      <c r="G17" s="358">
        <v>3</v>
      </c>
      <c r="H17" s="358" t="s">
        <v>849</v>
      </c>
      <c r="I17" s="358">
        <v>8</v>
      </c>
      <c r="J17" s="1195">
        <v>1</v>
      </c>
      <c r="K17" s="358">
        <v>5</v>
      </c>
      <c r="L17" s="358" t="s">
        <v>850</v>
      </c>
      <c r="M17" s="358">
        <v>50</v>
      </c>
      <c r="N17" s="1195">
        <v>0.18</v>
      </c>
      <c r="O17" s="358">
        <v>3</v>
      </c>
      <c r="P17" s="358" t="s">
        <v>849</v>
      </c>
      <c r="Q17" s="358">
        <v>20</v>
      </c>
    </row>
    <row r="18" spans="1:17">
      <c r="A18" s="1284">
        <v>43808</v>
      </c>
      <c r="B18" s="1195">
        <v>1</v>
      </c>
      <c r="C18" s="358">
        <v>5</v>
      </c>
      <c r="D18" s="358" t="s">
        <v>849</v>
      </c>
      <c r="E18" s="358">
        <v>6</v>
      </c>
      <c r="F18" s="1195">
        <v>0.1</v>
      </c>
      <c r="G18" s="358">
        <v>1.5</v>
      </c>
      <c r="H18" s="358" t="s">
        <v>849</v>
      </c>
      <c r="I18" s="358">
        <v>12</v>
      </c>
      <c r="J18" s="1195">
        <v>0.4</v>
      </c>
      <c r="K18" s="358">
        <v>4</v>
      </c>
      <c r="L18" s="358" t="s">
        <v>849</v>
      </c>
      <c r="M18" s="358">
        <v>50</v>
      </c>
      <c r="N18" s="1195">
        <v>0.2</v>
      </c>
      <c r="O18" s="358">
        <v>3</v>
      </c>
      <c r="P18" s="358" t="s">
        <v>849</v>
      </c>
      <c r="Q18" s="358">
        <v>25</v>
      </c>
    </row>
    <row r="19" spans="1:17">
      <c r="A19" t="s">
        <v>764</v>
      </c>
      <c r="B19" s="475">
        <f>MEDIAN(B4:B18)</f>
        <v>0.7</v>
      </c>
      <c r="C19" s="1069">
        <f>MEDIAN(C4:C18)</f>
        <v>5</v>
      </c>
      <c r="F19" s="475">
        <f>MEDIAN(F4:F18)</f>
        <v>0.08</v>
      </c>
      <c r="G19" s="1069">
        <f>MEDIAN(G4:G18)</f>
        <v>2</v>
      </c>
      <c r="J19" s="475">
        <f>MEDIAN(J4:J18)</f>
        <v>0.8</v>
      </c>
      <c r="K19" s="1069">
        <f>MEDIAN(K4:K18)</f>
        <v>5</v>
      </c>
      <c r="N19" s="475">
        <f>MEDIAN(N4:N18)</f>
        <v>0.2</v>
      </c>
      <c r="O19" s="1069">
        <f>MEDIAN(O4:O18)</f>
        <v>3</v>
      </c>
    </row>
  </sheetData>
  <mergeCells count="18">
    <mergeCell ref="F1:I1"/>
    <mergeCell ref="F2:G2"/>
    <mergeCell ref="H2:H3"/>
    <mergeCell ref="I2:I3"/>
    <mergeCell ref="A2:A3"/>
    <mergeCell ref="D2:D3"/>
    <mergeCell ref="E2:E3"/>
    <mergeCell ref="B1:E1"/>
    <mergeCell ref="B2:C2"/>
    <mergeCell ref="S1:T1"/>
    <mergeCell ref="J1:M1"/>
    <mergeCell ref="J2:K2"/>
    <mergeCell ref="L2:L3"/>
    <mergeCell ref="M2:M3"/>
    <mergeCell ref="N1:Q1"/>
    <mergeCell ref="N2:O2"/>
    <mergeCell ref="P2:P3"/>
    <mergeCell ref="Q2:Q3"/>
  </mergeCell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DC36D-8543-45FA-A42B-495D0146793C}">
  <dimension ref="A1:P17"/>
  <sheetViews>
    <sheetView topLeftCell="A10" workbookViewId="0">
      <selection activeCell="B11" sqref="B11:P15"/>
    </sheetView>
  </sheetViews>
  <sheetFormatPr defaultRowHeight="14"/>
  <cols>
    <col min="1" max="1" width="29.453125" customWidth="1"/>
    <col min="2" max="2" width="5.08984375" bestFit="1" customWidth="1"/>
    <col min="3" max="3" width="6" bestFit="1" customWidth="1"/>
    <col min="4" max="4" width="6.54296875" bestFit="1" customWidth="1"/>
    <col min="5" max="5" width="5.1796875" bestFit="1" customWidth="1"/>
    <col min="6" max="6" width="6.453125" bestFit="1" customWidth="1"/>
    <col min="7" max="7" width="6" bestFit="1" customWidth="1"/>
    <col min="8" max="8" width="4.453125" bestFit="1" customWidth="1"/>
    <col min="9" max="9" width="5.36328125" bestFit="1" customWidth="1"/>
    <col min="10" max="10" width="5.26953125" bestFit="1" customWidth="1"/>
    <col min="11" max="11" width="6.1796875" bestFit="1" customWidth="1"/>
    <col min="12" max="13" width="6" bestFit="1" customWidth="1"/>
    <col min="14" max="14" width="6.1796875" bestFit="1" customWidth="1"/>
    <col min="15" max="15" width="6.36328125" bestFit="1" customWidth="1"/>
    <col min="16" max="16" width="6.1796875" bestFit="1" customWidth="1"/>
  </cols>
  <sheetData>
    <row r="1" spans="1:16">
      <c r="B1" s="2297" t="s">
        <v>1250</v>
      </c>
      <c r="C1" s="2297"/>
      <c r="D1" s="2297"/>
      <c r="E1" s="2297"/>
      <c r="F1" s="2297"/>
      <c r="G1" s="2297"/>
      <c r="H1" s="2297"/>
      <c r="I1" s="2297"/>
      <c r="J1" s="2297"/>
      <c r="K1" s="2297"/>
      <c r="L1" s="2297"/>
      <c r="M1" s="2297"/>
      <c r="N1" s="2297"/>
      <c r="O1" s="2297"/>
      <c r="P1" s="2297"/>
    </row>
    <row r="2" spans="1:16">
      <c r="A2" s="39"/>
      <c r="B2" s="1284">
        <v>43472</v>
      </c>
      <c r="C2" s="1284">
        <v>43507</v>
      </c>
      <c r="D2" s="1284">
        <v>43545</v>
      </c>
      <c r="E2" s="1284">
        <v>43563</v>
      </c>
      <c r="F2" s="1284">
        <v>43591</v>
      </c>
      <c r="G2" s="1284">
        <v>43626</v>
      </c>
      <c r="H2" s="1284">
        <v>43654</v>
      </c>
      <c r="I2" s="1284">
        <v>43661</v>
      </c>
      <c r="J2" s="1284">
        <v>43682</v>
      </c>
      <c r="K2" s="1284">
        <v>43690</v>
      </c>
      <c r="L2" s="1284">
        <v>43717</v>
      </c>
      <c r="M2" s="1284">
        <v>43724</v>
      </c>
      <c r="N2" s="1284">
        <v>43752</v>
      </c>
      <c r="O2" s="1284">
        <v>43783</v>
      </c>
      <c r="P2" s="1284">
        <v>43808</v>
      </c>
    </row>
    <row r="3" spans="1:16">
      <c r="A3" s="1719" t="s">
        <v>1685</v>
      </c>
      <c r="B3" s="1720"/>
      <c r="C3" s="1721">
        <v>4.8</v>
      </c>
      <c r="D3" s="1720">
        <v>10.5</v>
      </c>
      <c r="E3" s="1720">
        <v>19</v>
      </c>
      <c r="F3" s="1720">
        <v>18.7</v>
      </c>
      <c r="G3" s="1720">
        <v>19.7</v>
      </c>
      <c r="H3" s="1720">
        <v>26.5</v>
      </c>
      <c r="I3" s="1720"/>
      <c r="J3" s="1720">
        <v>28.3</v>
      </c>
      <c r="K3" s="1720"/>
      <c r="L3" s="1720">
        <v>21.8</v>
      </c>
      <c r="M3" s="1720">
        <v>24.9</v>
      </c>
      <c r="N3" s="1720">
        <v>16.5</v>
      </c>
      <c r="O3" s="1720">
        <v>11</v>
      </c>
      <c r="P3" s="1720">
        <v>8.8000000000000007</v>
      </c>
    </row>
    <row r="4" spans="1:16">
      <c r="A4" s="42" t="s">
        <v>297</v>
      </c>
      <c r="B4" s="238">
        <v>9.6999999999999993</v>
      </c>
      <c r="C4" s="1282">
        <v>5</v>
      </c>
      <c r="D4" s="238">
        <v>10.6</v>
      </c>
      <c r="E4" s="238">
        <v>20.7</v>
      </c>
      <c r="F4" s="238">
        <v>20.100000000000001</v>
      </c>
      <c r="G4" s="238">
        <v>20.5</v>
      </c>
      <c r="H4" s="238">
        <v>27.5</v>
      </c>
      <c r="I4" s="238">
        <v>28.2</v>
      </c>
      <c r="J4" s="238">
        <v>28.2</v>
      </c>
      <c r="K4" s="238">
        <v>28.8</v>
      </c>
      <c r="L4" s="238">
        <v>21.8</v>
      </c>
      <c r="M4" s="238">
        <v>24.2</v>
      </c>
      <c r="N4" s="238">
        <v>16.600000000000001</v>
      </c>
      <c r="O4" s="238">
        <v>11</v>
      </c>
      <c r="P4" s="238">
        <v>6.5</v>
      </c>
    </row>
    <row r="5" spans="1:16">
      <c r="A5" s="43" t="s">
        <v>298</v>
      </c>
      <c r="B5" s="238">
        <v>12.2</v>
      </c>
      <c r="C5" s="1282">
        <v>5.8</v>
      </c>
      <c r="D5" s="238">
        <v>12.8</v>
      </c>
      <c r="E5" s="238">
        <v>22.9</v>
      </c>
      <c r="F5" s="238">
        <v>19.100000000000001</v>
      </c>
      <c r="G5" s="238">
        <v>25.2</v>
      </c>
      <c r="H5" s="238">
        <v>28.6</v>
      </c>
      <c r="I5" s="238">
        <v>29.1</v>
      </c>
      <c r="J5" s="238">
        <v>26.1</v>
      </c>
      <c r="K5" s="238">
        <v>28.9</v>
      </c>
      <c r="L5" s="238">
        <v>24.4</v>
      </c>
      <c r="M5" s="238">
        <v>21.2</v>
      </c>
      <c r="N5" s="238">
        <v>20.7</v>
      </c>
      <c r="O5" s="238">
        <v>10.9</v>
      </c>
      <c r="P5" s="238">
        <v>8</v>
      </c>
    </row>
    <row r="6" spans="1:16">
      <c r="A6" s="43" t="s">
        <v>299</v>
      </c>
      <c r="B6" s="238">
        <v>12</v>
      </c>
      <c r="C6" s="1282">
        <v>5.3</v>
      </c>
      <c r="D6" s="238">
        <v>16.100000000000001</v>
      </c>
      <c r="E6" s="238">
        <v>23.5</v>
      </c>
      <c r="F6" s="238">
        <v>19.7</v>
      </c>
      <c r="G6" s="238">
        <v>36.4</v>
      </c>
      <c r="H6" s="238">
        <v>36.200000000000003</v>
      </c>
      <c r="I6" s="238">
        <v>36.9</v>
      </c>
      <c r="J6" s="238">
        <v>35.299999999999997</v>
      </c>
      <c r="K6" s="238">
        <v>30.8</v>
      </c>
      <c r="L6" s="238">
        <v>34.5</v>
      </c>
      <c r="M6" s="238">
        <v>32.200000000000003</v>
      </c>
      <c r="N6" s="238">
        <v>26.8</v>
      </c>
      <c r="O6" s="238">
        <v>13</v>
      </c>
      <c r="P6" s="238">
        <v>8</v>
      </c>
    </row>
    <row r="7" spans="1:16">
      <c r="A7" s="43" t="s">
        <v>860</v>
      </c>
      <c r="B7" s="238">
        <v>13.6</v>
      </c>
      <c r="C7" s="1282">
        <v>5.2</v>
      </c>
      <c r="D7" s="238">
        <v>17.7</v>
      </c>
      <c r="E7" s="238">
        <v>26.8</v>
      </c>
      <c r="F7" s="238">
        <v>20.2</v>
      </c>
      <c r="G7" s="238">
        <v>34.6</v>
      </c>
      <c r="H7" s="238">
        <v>32.700000000000003</v>
      </c>
      <c r="I7" s="238">
        <v>39.700000000000003</v>
      </c>
      <c r="J7" s="238">
        <v>38.700000000000003</v>
      </c>
      <c r="K7" s="238">
        <v>35.200000000000003</v>
      </c>
      <c r="L7" s="238">
        <v>32.5</v>
      </c>
      <c r="M7" s="238">
        <v>34.200000000000003</v>
      </c>
      <c r="N7" s="238">
        <v>25.9</v>
      </c>
      <c r="O7" s="238">
        <v>16.399999999999999</v>
      </c>
      <c r="P7" s="238">
        <v>7.5</v>
      </c>
    </row>
    <row r="8" spans="1:16">
      <c r="A8" s="43" t="s">
        <v>1249</v>
      </c>
      <c r="B8" s="238">
        <v>12.5</v>
      </c>
      <c r="C8" s="1282">
        <v>4.2</v>
      </c>
      <c r="D8" s="238">
        <v>14.1</v>
      </c>
      <c r="E8" s="238">
        <v>23.7</v>
      </c>
      <c r="F8" s="238">
        <v>21.1</v>
      </c>
      <c r="G8" s="238">
        <v>21.4</v>
      </c>
      <c r="H8" s="238">
        <v>26</v>
      </c>
      <c r="I8" s="238">
        <v>31</v>
      </c>
      <c r="J8" s="238">
        <v>28.2</v>
      </c>
      <c r="K8" s="238">
        <v>30.5</v>
      </c>
      <c r="L8" s="238">
        <v>30.5</v>
      </c>
      <c r="M8" s="238">
        <v>29.8</v>
      </c>
      <c r="N8" s="238">
        <v>16.600000000000001</v>
      </c>
      <c r="O8" s="238">
        <v>12.2</v>
      </c>
      <c r="P8" s="238">
        <v>8.1</v>
      </c>
    </row>
    <row r="10" spans="1:16">
      <c r="B10" s="2297" t="s">
        <v>1251</v>
      </c>
      <c r="C10" s="2297"/>
      <c r="D10" s="2297"/>
      <c r="E10" s="2297"/>
      <c r="F10" s="2297"/>
      <c r="G10" s="2297"/>
      <c r="H10" s="2297"/>
      <c r="I10" s="2297"/>
      <c r="J10" s="2297"/>
      <c r="K10" s="2297"/>
      <c r="L10" s="2297"/>
      <c r="M10" s="2297"/>
      <c r="N10" s="2297"/>
      <c r="O10" s="2297"/>
      <c r="P10" s="2297"/>
    </row>
    <row r="11" spans="1:16">
      <c r="A11" s="1719" t="s">
        <v>1685</v>
      </c>
      <c r="B11" s="1725"/>
      <c r="C11" s="1725">
        <v>0.6</v>
      </c>
      <c r="D11" s="1725">
        <v>1.1000000000000001</v>
      </c>
      <c r="E11" s="1725">
        <v>4.9000000000000004</v>
      </c>
      <c r="F11" s="1725">
        <v>9.1999999999999993</v>
      </c>
      <c r="G11" s="1725">
        <v>9</v>
      </c>
      <c r="H11" s="1725">
        <v>15</v>
      </c>
      <c r="I11" s="1725"/>
      <c r="J11" s="1725">
        <v>16.3</v>
      </c>
      <c r="K11" s="1725"/>
      <c r="L11" s="1725">
        <v>14.5</v>
      </c>
      <c r="M11" s="1725">
        <v>13.9</v>
      </c>
      <c r="N11" s="1725">
        <v>7.2</v>
      </c>
      <c r="O11" s="1725">
        <v>3.4</v>
      </c>
      <c r="P11" s="1725">
        <v>3.6</v>
      </c>
    </row>
    <row r="12" spans="1:16">
      <c r="A12" s="43" t="s">
        <v>297</v>
      </c>
      <c r="B12" s="1722">
        <v>2.5</v>
      </c>
      <c r="C12" s="1722">
        <v>0.8</v>
      </c>
      <c r="D12" s="1722">
        <v>1.1000000000000001</v>
      </c>
      <c r="E12" s="1722">
        <v>5</v>
      </c>
      <c r="F12" s="1722">
        <v>9.4</v>
      </c>
      <c r="G12" s="1722">
        <v>9</v>
      </c>
      <c r="H12" s="1722">
        <v>15.1</v>
      </c>
      <c r="I12" s="1722">
        <v>15.5</v>
      </c>
      <c r="J12" s="1723">
        <v>16.399999999999999</v>
      </c>
      <c r="K12" s="1722">
        <v>15.5</v>
      </c>
      <c r="L12" s="1722">
        <v>14.5</v>
      </c>
      <c r="M12" s="1722">
        <v>19.8</v>
      </c>
      <c r="N12" s="1722">
        <v>7</v>
      </c>
      <c r="O12" s="1722">
        <v>3.1</v>
      </c>
      <c r="P12" s="1724">
        <v>3.6</v>
      </c>
    </row>
    <row r="13" spans="1:16">
      <c r="A13" s="43" t="s">
        <v>298</v>
      </c>
      <c r="B13" s="1722">
        <v>0.8</v>
      </c>
      <c r="C13" s="1722">
        <v>0.3</v>
      </c>
      <c r="D13" s="1722">
        <v>2.6</v>
      </c>
      <c r="E13" s="1722">
        <v>8.3000000000000007</v>
      </c>
      <c r="F13" s="1722">
        <v>10.8</v>
      </c>
      <c r="G13" s="1722">
        <v>10</v>
      </c>
      <c r="H13" s="1722">
        <v>15.4</v>
      </c>
      <c r="I13" s="1722">
        <v>15.7</v>
      </c>
      <c r="J13" s="1723">
        <v>17.3</v>
      </c>
      <c r="K13" s="1722">
        <v>16.100000000000001</v>
      </c>
      <c r="L13" s="1722">
        <v>14.7</v>
      </c>
      <c r="M13" s="1722">
        <v>13.4</v>
      </c>
      <c r="N13" s="1722">
        <v>4.8</v>
      </c>
      <c r="O13" s="1722">
        <v>2.4</v>
      </c>
      <c r="P13" s="1724">
        <v>3.4</v>
      </c>
    </row>
    <row r="14" spans="1:16">
      <c r="A14" s="43" t="s">
        <v>299</v>
      </c>
      <c r="B14" s="1722">
        <v>4.5</v>
      </c>
      <c r="C14" s="1722">
        <v>4.5</v>
      </c>
      <c r="D14" s="1722">
        <v>6</v>
      </c>
      <c r="E14" s="1722">
        <v>14.7</v>
      </c>
      <c r="F14" s="1722">
        <v>13</v>
      </c>
      <c r="G14" s="1722">
        <v>15.9</v>
      </c>
      <c r="H14" s="1722">
        <v>20.100000000000001</v>
      </c>
      <c r="I14" s="1722">
        <v>21.4</v>
      </c>
      <c r="J14" s="1723">
        <v>22.2</v>
      </c>
      <c r="K14" s="1722">
        <v>23.6</v>
      </c>
      <c r="L14" s="1722">
        <v>21.4</v>
      </c>
      <c r="M14" s="1722">
        <v>20.5</v>
      </c>
      <c r="N14" s="1722">
        <v>13.9</v>
      </c>
      <c r="O14" s="1722">
        <v>6.9</v>
      </c>
      <c r="P14" s="1724">
        <v>3.6</v>
      </c>
    </row>
    <row r="15" spans="1:16">
      <c r="A15" s="43" t="s">
        <v>860</v>
      </c>
      <c r="B15" s="1722">
        <v>2.6</v>
      </c>
      <c r="C15" s="1722">
        <v>2.2000000000000002</v>
      </c>
      <c r="D15" s="1722">
        <v>6.7</v>
      </c>
      <c r="E15" s="1722">
        <v>14.1</v>
      </c>
      <c r="F15" s="1722">
        <v>14.5</v>
      </c>
      <c r="G15" s="1722">
        <v>17.600000000000001</v>
      </c>
      <c r="H15" s="1722">
        <v>20.7</v>
      </c>
      <c r="I15" s="1722">
        <v>22.4</v>
      </c>
      <c r="J15" s="1723">
        <v>23.2</v>
      </c>
      <c r="K15" s="1722">
        <v>23.7</v>
      </c>
      <c r="L15" s="1722">
        <v>20.6</v>
      </c>
      <c r="M15" s="1722">
        <v>20.100000000000001</v>
      </c>
      <c r="N15" s="1722">
        <v>11.1</v>
      </c>
      <c r="O15" s="1722">
        <v>5.7</v>
      </c>
      <c r="P15" s="1724">
        <v>2.8</v>
      </c>
    </row>
    <row r="16" spans="1:16">
      <c r="A16" s="43" t="s">
        <v>1248</v>
      </c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</row>
    <row r="17" spans="1:16">
      <c r="A17" s="43" t="s">
        <v>1252</v>
      </c>
      <c r="B17" s="238">
        <v>4.3</v>
      </c>
      <c r="C17" s="238">
        <v>1.5</v>
      </c>
      <c r="D17" s="238">
        <v>5</v>
      </c>
      <c r="E17" s="238">
        <v>10.7</v>
      </c>
      <c r="F17" s="238">
        <v>11.9</v>
      </c>
      <c r="G17" s="238">
        <v>15</v>
      </c>
      <c r="H17" s="238">
        <v>19.7</v>
      </c>
      <c r="I17" s="238">
        <v>20.5</v>
      </c>
      <c r="J17" s="238">
        <v>19.5</v>
      </c>
      <c r="K17" s="238">
        <v>22.4</v>
      </c>
      <c r="L17" s="238">
        <v>20.8</v>
      </c>
      <c r="M17" s="238">
        <v>20.2</v>
      </c>
      <c r="N17" s="238">
        <v>12.6</v>
      </c>
      <c r="O17" s="238">
        <v>5.5</v>
      </c>
      <c r="P17" s="238">
        <v>3.4</v>
      </c>
    </row>
  </sheetData>
  <mergeCells count="2">
    <mergeCell ref="B1:P1"/>
    <mergeCell ref="B10:P10"/>
  </mergeCells>
  <pageMargins left="0.7" right="0.7" top="0.75" bottom="0.75" header="0.3" footer="0.3"/>
  <pageSetup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tabColor rgb="FF92D050"/>
    <pageSetUpPr fitToPage="1"/>
  </sheetPr>
  <dimension ref="A1:S79"/>
  <sheetViews>
    <sheetView topLeftCell="G19" zoomScale="75" zoomScaleNormal="75" workbookViewId="0">
      <selection activeCell="B6" sqref="B6:P6"/>
    </sheetView>
  </sheetViews>
  <sheetFormatPr defaultRowHeight="14"/>
  <cols>
    <col min="1" max="1" width="25.26953125" style="1" bestFit="1" customWidth="1"/>
    <col min="2" max="2" width="5.1796875" style="1" bestFit="1" customWidth="1"/>
    <col min="3" max="3" width="6.36328125" style="1" bestFit="1" customWidth="1"/>
    <col min="4" max="4" width="6.7265625" style="1" bestFit="1" customWidth="1"/>
    <col min="5" max="5" width="5.453125" bestFit="1" customWidth="1"/>
    <col min="6" max="6" width="6.90625" bestFit="1" customWidth="1"/>
    <col min="7" max="7" width="6.26953125" bestFit="1" customWidth="1"/>
    <col min="8" max="8" width="5.36328125" bestFit="1" customWidth="1"/>
    <col min="9" max="9" width="5.81640625" bestFit="1" customWidth="1"/>
    <col min="10" max="10" width="5.6328125" bestFit="1" customWidth="1"/>
    <col min="11" max="11" width="6.6328125" bestFit="1" customWidth="1"/>
    <col min="12" max="14" width="6.26953125" bestFit="1" customWidth="1"/>
    <col min="15" max="15" width="6.6328125" bestFit="1" customWidth="1"/>
    <col min="16" max="16" width="6.54296875" bestFit="1" customWidth="1"/>
    <col min="17" max="17" width="9" customWidth="1"/>
    <col min="18" max="18" width="5.36328125" bestFit="1" customWidth="1"/>
    <col min="19" max="19" width="9.453125" customWidth="1"/>
    <col min="20" max="20" width="9.6328125" customWidth="1"/>
    <col min="21" max="21" width="10.90625" bestFit="1" customWidth="1"/>
    <col min="22" max="22" width="9.90625" bestFit="1" customWidth="1"/>
    <col min="23" max="23" width="10.36328125" bestFit="1" customWidth="1"/>
    <col min="24" max="24" width="10.90625" bestFit="1" customWidth="1"/>
    <col min="25" max="25" width="11.08984375" bestFit="1" customWidth="1"/>
    <col min="26" max="26" width="11.36328125" customWidth="1"/>
    <col min="27" max="27" width="11" customWidth="1"/>
    <col min="28" max="28" width="10.453125" customWidth="1"/>
    <col min="29" max="29" width="12.54296875" customWidth="1"/>
    <col min="30" max="30" width="10.90625" bestFit="1" customWidth="1"/>
  </cols>
  <sheetData>
    <row r="1" spans="1:19" s="1" customFormat="1" ht="17.5">
      <c r="A1" s="2240" t="s">
        <v>240</v>
      </c>
      <c r="B1" s="2240"/>
      <c r="C1" s="2240"/>
      <c r="D1" s="2240"/>
      <c r="E1" s="2240"/>
      <c r="F1" s="2240"/>
      <c r="G1" s="2240"/>
      <c r="H1" s="2240"/>
      <c r="I1" s="2240"/>
      <c r="J1" s="2240"/>
      <c r="K1" s="2240"/>
      <c r="L1" s="2240"/>
      <c r="M1" s="2240"/>
      <c r="N1" s="2240"/>
      <c r="O1" s="2240"/>
      <c r="P1" s="1030"/>
    </row>
    <row r="2" spans="1:19" s="6" customFormat="1" ht="26">
      <c r="A2" s="39"/>
      <c r="B2" s="1284">
        <v>43472</v>
      </c>
      <c r="C2" s="1284">
        <v>43507</v>
      </c>
      <c r="D2" s="1284">
        <v>43545</v>
      </c>
      <c r="E2" s="1284">
        <v>43563</v>
      </c>
      <c r="F2" s="1284">
        <v>43591</v>
      </c>
      <c r="G2" s="1284">
        <v>43626</v>
      </c>
      <c r="H2" s="1284">
        <v>43654</v>
      </c>
      <c r="I2" s="1284">
        <v>43661</v>
      </c>
      <c r="J2" s="1284">
        <v>43682</v>
      </c>
      <c r="K2" s="1284">
        <v>43690</v>
      </c>
      <c r="L2" s="1284">
        <v>43717</v>
      </c>
      <c r="M2" s="1284">
        <v>43724</v>
      </c>
      <c r="N2" s="1284">
        <v>43752</v>
      </c>
      <c r="O2" s="1284">
        <v>43783</v>
      </c>
      <c r="P2" s="1284">
        <v>43808</v>
      </c>
      <c r="Q2" s="40" t="s">
        <v>84</v>
      </c>
      <c r="R2" s="41" t="s">
        <v>76</v>
      </c>
      <c r="S2" s="41" t="s">
        <v>102</v>
      </c>
    </row>
    <row r="3" spans="1:19" s="6" customFormat="1">
      <c r="A3" s="1726" t="s">
        <v>1686</v>
      </c>
      <c r="B3" s="1729"/>
      <c r="C3" s="1729">
        <v>0.6</v>
      </c>
      <c r="D3" s="1729">
        <v>1.1000000000000001</v>
      </c>
      <c r="E3" s="1729">
        <v>4.9000000000000004</v>
      </c>
      <c r="F3" s="1729">
        <v>9.1999999999999993</v>
      </c>
      <c r="G3" s="1729">
        <v>9</v>
      </c>
      <c r="H3" s="1729">
        <v>15</v>
      </c>
      <c r="I3" s="1729"/>
      <c r="J3" s="1729">
        <v>16.3</v>
      </c>
      <c r="K3" s="1729"/>
      <c r="L3" s="1729">
        <v>14.5</v>
      </c>
      <c r="M3" s="1729">
        <v>13.9</v>
      </c>
      <c r="N3" s="1729">
        <v>7.2</v>
      </c>
      <c r="O3" s="1729">
        <v>3.4</v>
      </c>
      <c r="P3" s="1729">
        <v>3.6</v>
      </c>
      <c r="Q3" s="1074">
        <f>AVERAGE(B3:P3)</f>
        <v>8.2249999999999996</v>
      </c>
      <c r="R3" s="1073">
        <f>MAX(B3:P3)</f>
        <v>16.3</v>
      </c>
      <c r="S3" s="1073">
        <f>AVERAGE(H3:M3)</f>
        <v>14.924999999999999</v>
      </c>
    </row>
    <row r="4" spans="1:19" s="2" customFormat="1">
      <c r="A4" s="1727" t="s">
        <v>297</v>
      </c>
      <c r="B4" s="1730">
        <v>2.5</v>
      </c>
      <c r="C4" s="1730">
        <v>0.8</v>
      </c>
      <c r="D4" s="1730">
        <v>1.1000000000000001</v>
      </c>
      <c r="E4" s="1730">
        <v>5</v>
      </c>
      <c r="F4" s="1730">
        <v>9.4</v>
      </c>
      <c r="G4" s="1730">
        <v>9</v>
      </c>
      <c r="H4" s="1730">
        <v>15.1</v>
      </c>
      <c r="I4" s="1730">
        <v>15.5</v>
      </c>
      <c r="J4" s="1731">
        <v>16.399999999999999</v>
      </c>
      <c r="K4" s="1730">
        <v>15.5</v>
      </c>
      <c r="L4" s="1730">
        <v>14.5</v>
      </c>
      <c r="M4" s="1730">
        <v>13.8</v>
      </c>
      <c r="N4" s="1730">
        <v>7</v>
      </c>
      <c r="O4" s="1730">
        <v>3.1</v>
      </c>
      <c r="P4" s="1732">
        <v>3.6</v>
      </c>
      <c r="Q4" s="1074">
        <f>AVERAGE(B4:P4)</f>
        <v>8.8199999999999985</v>
      </c>
      <c r="R4" s="1073">
        <f>MAX(B4:P4)</f>
        <v>16.399999999999999</v>
      </c>
      <c r="S4" s="1073">
        <f>AVERAGE(H4:M4)</f>
        <v>15.133333333333333</v>
      </c>
    </row>
    <row r="5" spans="1:19" s="2" customFormat="1">
      <c r="A5" s="1728" t="s">
        <v>298</v>
      </c>
      <c r="B5" s="1730">
        <v>0.8</v>
      </c>
      <c r="C5" s="1730">
        <v>0.3</v>
      </c>
      <c r="D5" s="1730">
        <v>2.6</v>
      </c>
      <c r="E5" s="1730">
        <v>8.3000000000000007</v>
      </c>
      <c r="F5" s="1730">
        <v>10.8</v>
      </c>
      <c r="G5" s="1730">
        <v>10</v>
      </c>
      <c r="H5" s="1730">
        <v>15.4</v>
      </c>
      <c r="I5" s="1730">
        <v>15.7</v>
      </c>
      <c r="J5" s="1731">
        <v>17.3</v>
      </c>
      <c r="K5" s="1730">
        <v>16.100000000000001</v>
      </c>
      <c r="L5" s="1730">
        <v>14.7</v>
      </c>
      <c r="M5" s="1730">
        <v>13.4</v>
      </c>
      <c r="N5" s="1730">
        <v>4.8</v>
      </c>
      <c r="O5" s="1730">
        <v>2.4</v>
      </c>
      <c r="P5" s="1732">
        <v>3.4</v>
      </c>
      <c r="Q5" s="1074">
        <f>AVERAGE(B5:P5)</f>
        <v>9.0666666666666664</v>
      </c>
      <c r="R5" s="1073">
        <f>MAX(B5:P5)</f>
        <v>17.3</v>
      </c>
      <c r="S5" s="1073">
        <f>AVERAGE(H5:M5)</f>
        <v>15.433333333333335</v>
      </c>
    </row>
    <row r="6" spans="1:19" s="2" customFormat="1">
      <c r="A6" s="1728" t="s">
        <v>299</v>
      </c>
      <c r="B6" s="1730">
        <v>4.5</v>
      </c>
      <c r="C6" s="1730">
        <v>4.5</v>
      </c>
      <c r="D6" s="1730">
        <v>6</v>
      </c>
      <c r="E6" s="1730">
        <v>14.7</v>
      </c>
      <c r="F6" s="1730">
        <v>13</v>
      </c>
      <c r="G6" s="1730">
        <v>15.9</v>
      </c>
      <c r="H6" s="1730">
        <v>20.100000000000001</v>
      </c>
      <c r="I6" s="1730">
        <v>21.4</v>
      </c>
      <c r="J6" s="1731">
        <v>22.2</v>
      </c>
      <c r="K6" s="1730">
        <v>23.6</v>
      </c>
      <c r="L6" s="1730">
        <v>21.4</v>
      </c>
      <c r="M6" s="1730">
        <v>20.5</v>
      </c>
      <c r="N6" s="1730">
        <v>13.9</v>
      </c>
      <c r="O6" s="1730">
        <v>6.9</v>
      </c>
      <c r="P6" s="1732">
        <v>3.6</v>
      </c>
      <c r="Q6" s="1074">
        <f>AVERAGE(B6:P6)</f>
        <v>14.146666666666668</v>
      </c>
      <c r="R6" s="1073">
        <f>MAX(B6:P6)</f>
        <v>23.6</v>
      </c>
      <c r="S6" s="1073">
        <f>AVERAGE(H6:M6)</f>
        <v>21.533333333333335</v>
      </c>
    </row>
    <row r="7" spans="1:19" s="2" customFormat="1">
      <c r="A7" s="1728" t="s">
        <v>860</v>
      </c>
      <c r="B7" s="1730">
        <v>2.6</v>
      </c>
      <c r="C7" s="1730">
        <v>2.2000000000000002</v>
      </c>
      <c r="D7" s="1730">
        <v>6.7</v>
      </c>
      <c r="E7" s="1730">
        <v>14.1</v>
      </c>
      <c r="F7" s="1730">
        <v>14.5</v>
      </c>
      <c r="G7" s="1730">
        <v>17.600000000000001</v>
      </c>
      <c r="H7" s="1730">
        <v>20.7</v>
      </c>
      <c r="I7" s="1730">
        <v>22.4</v>
      </c>
      <c r="J7" s="1731">
        <v>23.2</v>
      </c>
      <c r="K7" s="1730">
        <v>23.7</v>
      </c>
      <c r="L7" s="1730">
        <v>20.6</v>
      </c>
      <c r="M7" s="1730">
        <v>20.100000000000001</v>
      </c>
      <c r="N7" s="1730">
        <v>11.1</v>
      </c>
      <c r="O7" s="1730">
        <v>5.7</v>
      </c>
      <c r="P7" s="1732">
        <v>2.8</v>
      </c>
      <c r="Q7" s="1074">
        <f>AVERAGE(B7:P7)</f>
        <v>13.866666666666667</v>
      </c>
      <c r="R7" s="1073">
        <f>MAX(B7:P7)</f>
        <v>23.7</v>
      </c>
      <c r="S7" s="1073">
        <f>AVERAGE(H7:M7)</f>
        <v>21.783333333333331</v>
      </c>
    </row>
    <row r="8" spans="1:19" s="2" customFormat="1" ht="15" customHeight="1">
      <c r="A8" s="2298" t="s">
        <v>291</v>
      </c>
      <c r="B8" s="2299"/>
      <c r="C8" s="2299"/>
      <c r="D8" s="2299"/>
      <c r="E8" s="2299"/>
      <c r="F8" s="2299"/>
      <c r="G8" s="2299"/>
      <c r="H8" s="2299"/>
      <c r="I8" s="2299"/>
      <c r="J8" s="2299"/>
      <c r="K8" s="2299"/>
      <c r="L8" s="2299"/>
      <c r="M8" s="2299"/>
      <c r="N8" s="2299"/>
      <c r="O8" s="2299"/>
      <c r="P8" s="2299"/>
      <c r="Q8" s="2299"/>
      <c r="R8" s="2299"/>
      <c r="S8" s="2300"/>
    </row>
    <row r="9" spans="1:19" s="2" customFormat="1">
      <c r="A9" s="118" t="s">
        <v>235</v>
      </c>
      <c r="B9" s="238">
        <v>4.3</v>
      </c>
      <c r="C9" s="238">
        <v>1.5</v>
      </c>
      <c r="D9" s="238">
        <v>5</v>
      </c>
      <c r="E9" s="238">
        <v>10.7</v>
      </c>
      <c r="F9" s="238">
        <v>11.9</v>
      </c>
      <c r="G9" s="238">
        <v>15</v>
      </c>
      <c r="H9" s="238">
        <v>19.7</v>
      </c>
      <c r="I9" s="238">
        <v>20.5</v>
      </c>
      <c r="J9" s="238">
        <v>19.5</v>
      </c>
      <c r="K9" s="238">
        <v>22.4</v>
      </c>
      <c r="L9" s="238">
        <v>20.8</v>
      </c>
      <c r="M9" s="238">
        <v>20.2</v>
      </c>
      <c r="N9" s="238">
        <v>12.6</v>
      </c>
      <c r="O9" s="238">
        <v>5.5</v>
      </c>
      <c r="P9" s="238">
        <v>3.4</v>
      </c>
      <c r="Q9" s="1074">
        <f t="shared" ref="Q9:Q14" si="0">AVERAGE(B9:P9)</f>
        <v>12.866666666666667</v>
      </c>
      <c r="R9" s="1073">
        <f>MAX(B9:P9)</f>
        <v>22.4</v>
      </c>
      <c r="S9" s="1073">
        <f t="shared" ref="S9:S22" si="1">AVERAGE(H9:M9)</f>
        <v>20.516666666666666</v>
      </c>
    </row>
    <row r="10" spans="1:19" s="2" customFormat="1">
      <c r="A10" s="118" t="s">
        <v>139</v>
      </c>
      <c r="B10" s="253">
        <v>3.3</v>
      </c>
      <c r="C10" s="253">
        <v>2.8</v>
      </c>
      <c r="D10" s="253">
        <v>4.9000000000000004</v>
      </c>
      <c r="E10" s="253">
        <v>10.6</v>
      </c>
      <c r="F10" s="238">
        <v>11.9</v>
      </c>
      <c r="G10" s="253">
        <v>15.2</v>
      </c>
      <c r="H10" s="253">
        <v>19.7</v>
      </c>
      <c r="I10" s="238">
        <v>20.5</v>
      </c>
      <c r="J10" s="282">
        <v>21.8</v>
      </c>
      <c r="K10" s="253">
        <v>22.4</v>
      </c>
      <c r="L10" s="253">
        <v>20.2</v>
      </c>
      <c r="M10" s="253">
        <v>19.8</v>
      </c>
      <c r="N10" s="253">
        <v>12.3</v>
      </c>
      <c r="O10" s="253">
        <v>5.3</v>
      </c>
      <c r="P10" s="238">
        <v>3.4</v>
      </c>
      <c r="Q10" s="1074">
        <f t="shared" si="0"/>
        <v>12.940000000000001</v>
      </c>
      <c r="R10" s="1073">
        <f t="shared" ref="R10:R23" si="2">MAX(B10:P10)</f>
        <v>22.4</v>
      </c>
      <c r="S10" s="1073">
        <f t="shared" si="1"/>
        <v>20.733333333333334</v>
      </c>
    </row>
    <row r="11" spans="1:19" s="2" customFormat="1">
      <c r="A11" s="118" t="s">
        <v>236</v>
      </c>
      <c r="B11" s="253">
        <v>3.8</v>
      </c>
      <c r="C11" s="253">
        <v>3</v>
      </c>
      <c r="D11" s="253">
        <v>4.8</v>
      </c>
      <c r="E11" s="253">
        <v>9.9</v>
      </c>
      <c r="F11" s="238">
        <v>11.9</v>
      </c>
      <c r="G11" s="253">
        <v>14.8</v>
      </c>
      <c r="H11" s="253">
        <v>19.7</v>
      </c>
      <c r="I11" s="253">
        <v>20</v>
      </c>
      <c r="J11" s="282">
        <v>21.8</v>
      </c>
      <c r="K11" s="253">
        <v>22.3</v>
      </c>
      <c r="L11" s="253">
        <v>20.5</v>
      </c>
      <c r="M11" s="253">
        <v>19.7</v>
      </c>
      <c r="N11" s="253">
        <v>12.2</v>
      </c>
      <c r="O11" s="253">
        <v>5.3</v>
      </c>
      <c r="P11" s="238">
        <v>3.4</v>
      </c>
      <c r="Q11" s="1074">
        <f t="shared" si="0"/>
        <v>12.873333333333333</v>
      </c>
      <c r="R11" s="1073">
        <f t="shared" si="2"/>
        <v>22.3</v>
      </c>
      <c r="S11" s="1073">
        <f t="shared" si="1"/>
        <v>20.666666666666668</v>
      </c>
    </row>
    <row r="12" spans="1:19" s="2" customFormat="1">
      <c r="A12" s="118" t="s">
        <v>140</v>
      </c>
      <c r="B12" s="253">
        <v>3.7</v>
      </c>
      <c r="C12" s="253">
        <v>3.4</v>
      </c>
      <c r="D12" s="253">
        <v>4.8</v>
      </c>
      <c r="E12" s="253">
        <v>9.1999999999999993</v>
      </c>
      <c r="F12" s="253">
        <v>12</v>
      </c>
      <c r="G12" s="253">
        <v>14.7</v>
      </c>
      <c r="H12" s="1075">
        <v>19.7</v>
      </c>
      <c r="I12" s="253">
        <v>20</v>
      </c>
      <c r="J12" s="282">
        <v>21.8</v>
      </c>
      <c r="K12" s="253">
        <v>22</v>
      </c>
      <c r="L12" s="253">
        <v>20.399999999999999</v>
      </c>
      <c r="M12" s="253">
        <v>19.7</v>
      </c>
      <c r="N12" s="253">
        <v>12.1</v>
      </c>
      <c r="O12" s="253">
        <v>5.3</v>
      </c>
      <c r="P12" s="1039">
        <v>3.3</v>
      </c>
      <c r="Q12" s="1074">
        <f t="shared" si="0"/>
        <v>12.806666666666668</v>
      </c>
      <c r="R12" s="1073">
        <f t="shared" si="2"/>
        <v>22</v>
      </c>
      <c r="S12" s="1073">
        <f t="shared" si="1"/>
        <v>20.6</v>
      </c>
    </row>
    <row r="13" spans="1:19" s="2" customFormat="1">
      <c r="A13" s="118" t="s">
        <v>237</v>
      </c>
      <c r="B13" s="253">
        <v>3.8</v>
      </c>
      <c r="C13" s="253">
        <v>3.6</v>
      </c>
      <c r="D13" s="253">
        <v>4.7</v>
      </c>
      <c r="E13" s="253">
        <v>9.9</v>
      </c>
      <c r="F13" s="253">
        <v>12.1</v>
      </c>
      <c r="G13" s="253">
        <v>14.7</v>
      </c>
      <c r="H13" s="253">
        <v>18.899999999999999</v>
      </c>
      <c r="I13" s="253">
        <v>19.899999999999999</v>
      </c>
      <c r="J13" s="282">
        <v>21.7</v>
      </c>
      <c r="K13" s="253">
        <v>21.9</v>
      </c>
      <c r="L13" s="253">
        <v>20.399999999999999</v>
      </c>
      <c r="M13" s="253">
        <v>19.7</v>
      </c>
      <c r="N13" s="253">
        <v>12.1</v>
      </c>
      <c r="O13" s="253">
        <v>5.3</v>
      </c>
      <c r="P13" s="1039">
        <v>3.2</v>
      </c>
      <c r="Q13" s="1074">
        <f t="shared" si="0"/>
        <v>12.793333333333331</v>
      </c>
      <c r="R13" s="1073">
        <f t="shared" si="2"/>
        <v>21.9</v>
      </c>
      <c r="S13" s="1073">
        <f t="shared" si="1"/>
        <v>20.416666666666668</v>
      </c>
    </row>
    <row r="14" spans="1:19" s="2" customFormat="1">
      <c r="A14" s="118" t="s">
        <v>141</v>
      </c>
      <c r="B14" s="253">
        <v>3.8</v>
      </c>
      <c r="C14" s="253">
        <v>3.9</v>
      </c>
      <c r="D14" s="253">
        <v>4.5999999999999996</v>
      </c>
      <c r="E14" s="253">
        <v>8.9</v>
      </c>
      <c r="F14" s="253">
        <v>12.1</v>
      </c>
      <c r="G14" s="253">
        <v>14.7</v>
      </c>
      <c r="H14" s="253">
        <v>18.8</v>
      </c>
      <c r="I14" s="253">
        <v>19.899999999999999</v>
      </c>
      <c r="J14" s="282">
        <v>21.7</v>
      </c>
      <c r="K14" s="253">
        <v>21.9</v>
      </c>
      <c r="L14" s="253">
        <v>20.399999999999999</v>
      </c>
      <c r="M14" s="253">
        <v>19.600000000000001</v>
      </c>
      <c r="N14" s="253">
        <v>12.1</v>
      </c>
      <c r="O14" s="253">
        <v>5.3</v>
      </c>
      <c r="P14" s="1039">
        <v>3.2</v>
      </c>
      <c r="Q14" s="1074">
        <f t="shared" si="0"/>
        <v>12.726666666666665</v>
      </c>
      <c r="R14" s="1073">
        <f t="shared" si="2"/>
        <v>21.9</v>
      </c>
      <c r="S14" s="1073">
        <f t="shared" si="1"/>
        <v>20.383333333333336</v>
      </c>
    </row>
    <row r="15" spans="1:19" s="2" customFormat="1">
      <c r="A15" s="118" t="s">
        <v>238</v>
      </c>
      <c r="B15" s="253"/>
      <c r="C15" s="253">
        <v>4</v>
      </c>
      <c r="D15" s="253">
        <v>4.8</v>
      </c>
      <c r="E15" s="253">
        <v>8.5</v>
      </c>
      <c r="F15" s="253">
        <v>12.1</v>
      </c>
      <c r="G15" s="253">
        <v>14.7</v>
      </c>
      <c r="H15" s="253">
        <v>18.399999999999999</v>
      </c>
      <c r="I15" s="253">
        <v>19.8</v>
      </c>
      <c r="J15" s="282">
        <v>21.7</v>
      </c>
      <c r="K15" s="253">
        <v>21.8</v>
      </c>
      <c r="L15" s="253">
        <v>20.399999999999999</v>
      </c>
      <c r="M15" s="253">
        <v>19.600000000000001</v>
      </c>
      <c r="N15" s="253">
        <v>11.9</v>
      </c>
      <c r="O15" s="253">
        <v>5.3</v>
      </c>
      <c r="P15" s="1039">
        <v>3.2</v>
      </c>
      <c r="Q15" s="1074">
        <f t="shared" ref="Q15:Q20" si="3">AVERAGE(B15:O15)</f>
        <v>14.076923076923077</v>
      </c>
      <c r="R15" s="1073">
        <f t="shared" si="2"/>
        <v>21.8</v>
      </c>
      <c r="S15" s="1073">
        <f t="shared" si="1"/>
        <v>20.283333333333331</v>
      </c>
    </row>
    <row r="16" spans="1:19" s="2" customFormat="1">
      <c r="A16" s="118" t="s">
        <v>142</v>
      </c>
      <c r="B16" s="253"/>
      <c r="C16" s="253">
        <v>3.9</v>
      </c>
      <c r="D16" s="253">
        <v>4.5999999999999996</v>
      </c>
      <c r="E16" s="253">
        <v>8.1</v>
      </c>
      <c r="F16" s="253">
        <v>12.1</v>
      </c>
      <c r="G16" s="253">
        <v>14.7</v>
      </c>
      <c r="H16" s="253">
        <v>17.899999999999999</v>
      </c>
      <c r="I16" s="253">
        <v>19.8</v>
      </c>
      <c r="J16" s="282">
        <v>21.7</v>
      </c>
      <c r="K16" s="253">
        <v>21.8</v>
      </c>
      <c r="L16" s="253">
        <v>20.399999999999999</v>
      </c>
      <c r="M16" s="253">
        <v>19.600000000000001</v>
      </c>
      <c r="N16" s="253">
        <v>11.9</v>
      </c>
      <c r="O16" s="253">
        <v>5.3</v>
      </c>
      <c r="P16" s="1039">
        <v>3.2</v>
      </c>
      <c r="Q16" s="1074">
        <f>AVERAGE(B16:P16)</f>
        <v>13.214285714285714</v>
      </c>
      <c r="R16" s="1073">
        <f t="shared" si="2"/>
        <v>21.8</v>
      </c>
      <c r="S16" s="1073">
        <f>AVERAGE(H16:M16)</f>
        <v>20.2</v>
      </c>
    </row>
    <row r="17" spans="1:19" s="2" customFormat="1">
      <c r="A17" s="118" t="s">
        <v>143</v>
      </c>
      <c r="B17" s="253"/>
      <c r="C17" s="253">
        <v>4</v>
      </c>
      <c r="D17" s="253">
        <v>4.0999999999999996</v>
      </c>
      <c r="E17" s="253">
        <v>7.9</v>
      </c>
      <c r="F17" s="253">
        <v>12</v>
      </c>
      <c r="G17" s="253">
        <v>14.6</v>
      </c>
      <c r="H17" s="253">
        <v>17.600000000000001</v>
      </c>
      <c r="I17" s="253">
        <v>19.600000000000001</v>
      </c>
      <c r="J17" s="282">
        <v>21.7</v>
      </c>
      <c r="K17" s="253">
        <v>21.8</v>
      </c>
      <c r="L17" s="253">
        <v>20.399999999999999</v>
      </c>
      <c r="M17" s="253">
        <v>19.600000000000001</v>
      </c>
      <c r="N17" s="253">
        <v>11.8</v>
      </c>
      <c r="O17" s="253">
        <v>5.3</v>
      </c>
      <c r="P17" s="1039">
        <v>3.2</v>
      </c>
      <c r="Q17" s="1074">
        <f t="shared" si="3"/>
        <v>13.876923076923079</v>
      </c>
      <c r="R17" s="1073">
        <f t="shared" si="2"/>
        <v>21.8</v>
      </c>
      <c r="S17" s="1073">
        <f t="shared" si="1"/>
        <v>20.116666666666664</v>
      </c>
    </row>
    <row r="18" spans="1:19" s="2" customFormat="1">
      <c r="A18" s="118" t="s">
        <v>144</v>
      </c>
      <c r="B18" s="258"/>
      <c r="C18" s="258"/>
      <c r="D18" s="253">
        <v>4.2</v>
      </c>
      <c r="E18" s="253">
        <v>7.6</v>
      </c>
      <c r="F18" s="253">
        <v>12.1</v>
      </c>
      <c r="G18" s="253">
        <v>14.2</v>
      </c>
      <c r="H18" s="253">
        <v>17.399999999999999</v>
      </c>
      <c r="I18" s="253">
        <v>19.3</v>
      </c>
      <c r="J18" s="282">
        <v>21.5</v>
      </c>
      <c r="K18" s="253">
        <v>21.5</v>
      </c>
      <c r="L18" s="253">
        <v>20.3</v>
      </c>
      <c r="M18" s="253">
        <v>19.600000000000001</v>
      </c>
      <c r="N18" s="253">
        <v>11.7</v>
      </c>
      <c r="O18" s="253">
        <v>5.3</v>
      </c>
      <c r="P18" s="1039">
        <v>3.1</v>
      </c>
      <c r="Q18" s="1074">
        <f>AVERAGE(B18:P18)</f>
        <v>13.676923076923076</v>
      </c>
      <c r="R18" s="1073">
        <f t="shared" si="2"/>
        <v>21.5</v>
      </c>
      <c r="S18" s="1073">
        <f t="shared" si="1"/>
        <v>19.933333333333334</v>
      </c>
    </row>
    <row r="19" spans="1:19">
      <c r="A19" s="118" t="s">
        <v>145</v>
      </c>
      <c r="B19" s="257"/>
      <c r="C19" s="259"/>
      <c r="D19" s="253">
        <v>4.2</v>
      </c>
      <c r="E19" s="253">
        <v>7.2</v>
      </c>
      <c r="F19" s="253">
        <v>11.8</v>
      </c>
      <c r="G19" s="253">
        <v>13.8</v>
      </c>
      <c r="H19" s="253">
        <v>17</v>
      </c>
      <c r="I19" s="253">
        <v>18.899999999999999</v>
      </c>
      <c r="J19" s="282">
        <v>21.4</v>
      </c>
      <c r="K19" s="253">
        <v>21.3</v>
      </c>
      <c r="L19" s="253">
        <v>20.3</v>
      </c>
      <c r="M19" s="253">
        <v>19.600000000000001</v>
      </c>
      <c r="N19" s="253">
        <v>11.6</v>
      </c>
      <c r="O19" s="253">
        <v>5.3</v>
      </c>
      <c r="P19" s="1039"/>
      <c r="Q19" s="1074">
        <f t="shared" si="3"/>
        <v>14.366666666666667</v>
      </c>
      <c r="R19" s="1073">
        <f t="shared" si="2"/>
        <v>21.4</v>
      </c>
      <c r="S19" s="1073">
        <f t="shared" si="1"/>
        <v>19.75</v>
      </c>
    </row>
    <row r="20" spans="1:19">
      <c r="A20" s="118" t="s">
        <v>146</v>
      </c>
      <c r="B20" s="257"/>
      <c r="C20" s="258"/>
      <c r="D20" s="253">
        <v>4.2</v>
      </c>
      <c r="E20" s="253">
        <v>6.5</v>
      </c>
      <c r="F20" s="253">
        <v>11.6</v>
      </c>
      <c r="G20" s="253">
        <v>13.6</v>
      </c>
      <c r="H20" s="253">
        <v>16.600000000000001</v>
      </c>
      <c r="I20" s="253">
        <v>18.7</v>
      </c>
      <c r="J20" s="282">
        <v>20.9</v>
      </c>
      <c r="K20" s="253">
        <v>21</v>
      </c>
      <c r="L20" s="253">
        <v>19.899999999999999</v>
      </c>
      <c r="M20" s="253">
        <v>19.2</v>
      </c>
      <c r="N20" s="253">
        <v>11.6</v>
      </c>
      <c r="O20" s="253">
        <v>5.3</v>
      </c>
      <c r="P20" s="1039"/>
      <c r="Q20" s="1074">
        <f t="shared" si="3"/>
        <v>14.091666666666667</v>
      </c>
      <c r="R20" s="1073">
        <f t="shared" si="2"/>
        <v>21</v>
      </c>
      <c r="S20" s="1073">
        <f>AVERAGE(H20:M20)</f>
        <v>19.383333333333333</v>
      </c>
    </row>
    <row r="21" spans="1:19">
      <c r="A21" s="118" t="s">
        <v>147</v>
      </c>
      <c r="B21" s="257"/>
      <c r="C21" s="258"/>
      <c r="D21" s="253">
        <v>4.7</v>
      </c>
      <c r="E21" s="253">
        <v>5.9</v>
      </c>
      <c r="F21" s="253">
        <v>10.9</v>
      </c>
      <c r="G21" s="253">
        <v>13.6</v>
      </c>
      <c r="H21" s="253">
        <v>16</v>
      </c>
      <c r="I21" s="253">
        <v>17.899999999999999</v>
      </c>
      <c r="J21" s="282">
        <v>20.8</v>
      </c>
      <c r="K21" s="253">
        <v>20.9</v>
      </c>
      <c r="L21" s="253">
        <v>19.5</v>
      </c>
      <c r="M21" s="253">
        <v>19.100000000000001</v>
      </c>
      <c r="N21" s="253">
        <v>11.2</v>
      </c>
      <c r="O21" s="253">
        <v>5.4</v>
      </c>
      <c r="P21" s="1039"/>
      <c r="Q21" s="1074">
        <f>AVERAGE(B21:P21)</f>
        <v>13.824999999999998</v>
      </c>
      <c r="R21" s="1073">
        <f t="shared" si="2"/>
        <v>20.9</v>
      </c>
      <c r="S21" s="1073">
        <f t="shared" si="1"/>
        <v>19.033333333333331</v>
      </c>
    </row>
    <row r="22" spans="1:19">
      <c r="A22" s="118" t="s">
        <v>165</v>
      </c>
      <c r="B22" s="257"/>
      <c r="C22" s="258"/>
      <c r="D22" s="253">
        <v>4.9000000000000004</v>
      </c>
      <c r="E22" s="253"/>
      <c r="F22" s="253">
        <v>10.5</v>
      </c>
      <c r="G22" s="253">
        <v>13</v>
      </c>
      <c r="H22" s="253">
        <v>15.5</v>
      </c>
      <c r="I22" s="253">
        <v>17.3</v>
      </c>
      <c r="J22" s="282">
        <v>20.6</v>
      </c>
      <c r="K22" s="253">
        <v>20.7</v>
      </c>
      <c r="L22" s="253">
        <v>19.2</v>
      </c>
      <c r="M22" s="253">
        <v>19</v>
      </c>
      <c r="N22" s="253"/>
      <c r="O22" s="253"/>
      <c r="P22" s="1039"/>
      <c r="Q22" s="1074">
        <f>AVERAGE(B22:P22)</f>
        <v>15.633333333333335</v>
      </c>
      <c r="R22" s="1073">
        <f t="shared" si="2"/>
        <v>20.7</v>
      </c>
      <c r="S22" s="1073">
        <f t="shared" si="1"/>
        <v>18.716666666666665</v>
      </c>
    </row>
    <row r="23" spans="1:19">
      <c r="A23" s="118" t="s">
        <v>166</v>
      </c>
      <c r="B23" s="257"/>
      <c r="C23" s="258"/>
      <c r="D23" s="253"/>
      <c r="E23" s="253"/>
      <c r="F23" s="253"/>
      <c r="G23" s="253">
        <v>12.4</v>
      </c>
      <c r="H23" s="253"/>
      <c r="I23" s="253">
        <v>16.5</v>
      </c>
      <c r="J23" s="282"/>
      <c r="K23" s="253"/>
      <c r="L23" s="253"/>
      <c r="M23" s="253"/>
      <c r="N23" s="253"/>
      <c r="O23" s="253"/>
      <c r="P23" s="1039"/>
      <c r="Q23" s="1070"/>
      <c r="R23" s="1071">
        <f t="shared" si="2"/>
        <v>16.5</v>
      </c>
      <c r="S23" s="1071"/>
    </row>
    <row r="24" spans="1:19">
      <c r="A24" s="118" t="s">
        <v>304</v>
      </c>
      <c r="B24" s="257">
        <f>AVERAGE(B9:B12)</f>
        <v>3.7749999999999995</v>
      </c>
      <c r="C24" s="257">
        <f t="shared" ref="C24:P24" si="4">AVERAGE(C9:C12)</f>
        <v>2.6749999999999998</v>
      </c>
      <c r="D24" s="257">
        <f t="shared" si="4"/>
        <v>4.875</v>
      </c>
      <c r="E24" s="257">
        <f t="shared" si="4"/>
        <v>10.099999999999998</v>
      </c>
      <c r="F24" s="257">
        <f t="shared" si="4"/>
        <v>11.925000000000001</v>
      </c>
      <c r="G24" s="257">
        <f t="shared" si="4"/>
        <v>14.925000000000001</v>
      </c>
      <c r="H24" s="257">
        <f t="shared" si="4"/>
        <v>19.7</v>
      </c>
      <c r="I24" s="257">
        <f t="shared" si="4"/>
        <v>20.25</v>
      </c>
      <c r="J24" s="257">
        <f t="shared" si="4"/>
        <v>21.224999999999998</v>
      </c>
      <c r="K24" s="257">
        <f t="shared" si="4"/>
        <v>22.274999999999999</v>
      </c>
      <c r="L24" s="257">
        <f t="shared" si="4"/>
        <v>20.475000000000001</v>
      </c>
      <c r="M24" s="257">
        <f t="shared" si="4"/>
        <v>19.850000000000001</v>
      </c>
      <c r="N24" s="257">
        <f t="shared" si="4"/>
        <v>12.299999999999999</v>
      </c>
      <c r="O24" s="257">
        <f t="shared" si="4"/>
        <v>5.3500000000000005</v>
      </c>
      <c r="P24" s="257">
        <f t="shared" si="4"/>
        <v>3.375</v>
      </c>
      <c r="Q24" s="1072">
        <f>AVERAGE(Q9:Q12)</f>
        <v>12.871666666666666</v>
      </c>
      <c r="R24" s="1073">
        <f>MAX(B9:O12)</f>
        <v>22.4</v>
      </c>
      <c r="S24" s="1072">
        <f>AVERAGE(S9:S12)</f>
        <v>20.62916666666667</v>
      </c>
    </row>
    <row r="25" spans="1:19">
      <c r="A25" s="118" t="s">
        <v>305</v>
      </c>
      <c r="B25" s="257">
        <f>AVERAGE(B9:B23)</f>
        <v>3.7833333333333332</v>
      </c>
      <c r="C25" s="257">
        <f t="shared" ref="C25:P25" si="5">AVERAGE(C9:C23)</f>
        <v>3.3444444444444441</v>
      </c>
      <c r="D25" s="257">
        <f t="shared" si="5"/>
        <v>4.6071428571428585</v>
      </c>
      <c r="E25" s="257">
        <f t="shared" si="5"/>
        <v>8.5307692307692307</v>
      </c>
      <c r="F25" s="257">
        <f t="shared" si="5"/>
        <v>11.785714285714286</v>
      </c>
      <c r="G25" s="257">
        <f t="shared" si="5"/>
        <v>14.246666666666668</v>
      </c>
      <c r="H25" s="257">
        <f t="shared" si="5"/>
        <v>18.064285714285713</v>
      </c>
      <c r="I25" s="257">
        <f t="shared" si="5"/>
        <v>19.240000000000002</v>
      </c>
      <c r="J25" s="257">
        <f t="shared" si="5"/>
        <v>21.328571428571426</v>
      </c>
      <c r="K25" s="257">
        <f t="shared" si="5"/>
        <v>21.692857142857143</v>
      </c>
      <c r="L25" s="257">
        <f t="shared" si="5"/>
        <v>20.221428571428579</v>
      </c>
      <c r="M25" s="257">
        <f t="shared" si="5"/>
        <v>19.571428571428573</v>
      </c>
      <c r="N25" s="257">
        <f t="shared" si="5"/>
        <v>11.930769230769231</v>
      </c>
      <c r="O25" s="257">
        <f t="shared" si="5"/>
        <v>5.3230769230769219</v>
      </c>
      <c r="P25" s="257">
        <f t="shared" si="5"/>
        <v>3.2599999999999993</v>
      </c>
      <c r="Q25" s="1072">
        <f>AVERAGE(Q9:Q23)</f>
        <v>13.554884877027733</v>
      </c>
      <c r="R25" s="1073">
        <f>MAX(B9:O23)</f>
        <v>22.4</v>
      </c>
      <c r="S25" s="1073">
        <f>MAX(C13:Q23)</f>
        <v>21.9</v>
      </c>
    </row>
    <row r="26" spans="1:19" ht="15" customHeight="1">
      <c r="A26" s="2301" t="s">
        <v>292</v>
      </c>
      <c r="B26" s="2302"/>
      <c r="C26" s="2302"/>
      <c r="D26" s="2302"/>
      <c r="E26" s="2302"/>
      <c r="F26" s="2302"/>
      <c r="G26" s="2302"/>
      <c r="H26" s="2302"/>
      <c r="I26" s="2302"/>
      <c r="J26" s="2302"/>
      <c r="K26" s="2302"/>
      <c r="L26" s="2302"/>
      <c r="M26" s="2302"/>
      <c r="N26" s="2302"/>
      <c r="O26" s="2302"/>
      <c r="P26" s="2302"/>
      <c r="Q26" s="2302"/>
      <c r="R26" s="2302"/>
      <c r="S26" s="2303"/>
    </row>
    <row r="27" spans="1:19">
      <c r="A27" s="118" t="s">
        <v>235</v>
      </c>
      <c r="B27" s="254"/>
      <c r="C27" s="254">
        <v>2.5</v>
      </c>
      <c r="D27" s="254">
        <v>5.3</v>
      </c>
      <c r="E27" s="255">
        <v>10.8</v>
      </c>
      <c r="F27" s="254">
        <v>13</v>
      </c>
      <c r="G27" s="254">
        <v>15.8</v>
      </c>
      <c r="H27" s="254">
        <v>20</v>
      </c>
      <c r="I27" s="254">
        <v>21.3</v>
      </c>
      <c r="J27" s="254">
        <v>22.2</v>
      </c>
      <c r="K27" s="254">
        <v>22.5</v>
      </c>
      <c r="L27" s="254">
        <v>21.7</v>
      </c>
      <c r="M27" s="254">
        <v>20.399999999999999</v>
      </c>
      <c r="N27" s="254">
        <v>12.7</v>
      </c>
      <c r="O27" s="254">
        <v>5.4</v>
      </c>
      <c r="P27" s="1040"/>
      <c r="Q27" s="1074">
        <f>AVERAGE(B27:P27)</f>
        <v>14.892307692307693</v>
      </c>
      <c r="R27" s="1073">
        <f>MAX(B27:P27)</f>
        <v>22.5</v>
      </c>
      <c r="S27" s="1073">
        <f t="shared" ref="S27:S38" si="6">AVERAGE(H27:M27)</f>
        <v>21.349999999999998</v>
      </c>
    </row>
    <row r="28" spans="1:19">
      <c r="A28" s="118" t="s">
        <v>139</v>
      </c>
      <c r="B28" s="254"/>
      <c r="C28" s="254">
        <v>2.8</v>
      </c>
      <c r="D28" s="254">
        <v>4.7</v>
      </c>
      <c r="E28" s="255">
        <v>10</v>
      </c>
      <c r="F28" s="254">
        <v>12.4</v>
      </c>
      <c r="G28" s="254">
        <v>15.2</v>
      </c>
      <c r="H28" s="254">
        <v>19.899999999999999</v>
      </c>
      <c r="I28" s="254">
        <v>20.399999999999999</v>
      </c>
      <c r="J28" s="254">
        <v>22.3</v>
      </c>
      <c r="K28" s="254">
        <v>22.5</v>
      </c>
      <c r="L28" s="254">
        <v>20.7</v>
      </c>
      <c r="M28" s="254">
        <v>19.899999999999999</v>
      </c>
      <c r="N28" s="254">
        <v>12.4</v>
      </c>
      <c r="O28" s="254">
        <v>5.3</v>
      </c>
      <c r="P28" s="1040"/>
      <c r="Q28" s="1074">
        <f>AVERAGE(B28:P28)</f>
        <v>14.5</v>
      </c>
      <c r="R28" s="1073">
        <f>MAX(B28:P28)</f>
        <v>22.5</v>
      </c>
      <c r="S28" s="1073">
        <f t="shared" si="6"/>
        <v>20.95</v>
      </c>
    </row>
    <row r="29" spans="1:19">
      <c r="A29" s="118" t="s">
        <v>236</v>
      </c>
      <c r="B29" s="254"/>
      <c r="C29" s="254">
        <v>3.1</v>
      </c>
      <c r="D29" s="254">
        <v>4.5999999999999996</v>
      </c>
      <c r="E29" s="255">
        <v>7.6</v>
      </c>
      <c r="F29" s="254">
        <v>12.2</v>
      </c>
      <c r="G29" s="256">
        <v>15</v>
      </c>
      <c r="H29" s="254">
        <v>19.2</v>
      </c>
      <c r="I29" s="254">
        <v>20</v>
      </c>
      <c r="J29" s="254">
        <v>22.1</v>
      </c>
      <c r="K29" s="254">
        <v>22.4</v>
      </c>
      <c r="L29" s="254">
        <v>20.5</v>
      </c>
      <c r="M29" s="254">
        <v>19.7</v>
      </c>
      <c r="N29" s="254">
        <v>12.2</v>
      </c>
      <c r="O29" s="254">
        <v>5.3</v>
      </c>
      <c r="P29" s="1040"/>
      <c r="Q29" s="1074">
        <f>AVERAGE(B29:O29)</f>
        <v>14.146153846153847</v>
      </c>
      <c r="R29" s="1073">
        <f>MAX(B29:O29)</f>
        <v>22.4</v>
      </c>
      <c r="S29" s="1073">
        <f t="shared" si="6"/>
        <v>20.650000000000002</v>
      </c>
    </row>
    <row r="30" spans="1:19">
      <c r="A30" s="118" t="s">
        <v>140</v>
      </c>
      <c r="B30" s="254"/>
      <c r="C30" s="254">
        <v>3.3</v>
      </c>
      <c r="D30" s="254">
        <v>4.5</v>
      </c>
      <c r="E30" s="254">
        <v>8.5</v>
      </c>
      <c r="F30" s="254">
        <v>12.2</v>
      </c>
      <c r="G30" s="254">
        <v>14.9</v>
      </c>
      <c r="H30" s="254">
        <v>18.899999999999999</v>
      </c>
      <c r="I30" s="254">
        <v>19.899999999999999</v>
      </c>
      <c r="J30" s="254">
        <v>21.8</v>
      </c>
      <c r="K30" s="254">
        <v>22.3</v>
      </c>
      <c r="L30" s="254">
        <v>20.399999999999999</v>
      </c>
      <c r="M30" s="254">
        <v>19.7</v>
      </c>
      <c r="N30" s="254">
        <v>12.2</v>
      </c>
      <c r="O30" s="254">
        <v>5.3</v>
      </c>
      <c r="P30" s="1040"/>
      <c r="Q30" s="1074">
        <f>AVERAGE(B30:O30)</f>
        <v>14.146153846153844</v>
      </c>
      <c r="R30" s="1073">
        <f>MAX(B30:O30)</f>
        <v>22.3</v>
      </c>
      <c r="S30" s="1073">
        <f t="shared" si="6"/>
        <v>20.499999999999996</v>
      </c>
    </row>
    <row r="31" spans="1:19">
      <c r="A31" s="118" t="s">
        <v>237</v>
      </c>
      <c r="B31" s="254"/>
      <c r="C31" s="254">
        <v>3.7</v>
      </c>
      <c r="D31" s="254">
        <v>4.5</v>
      </c>
      <c r="E31" s="254">
        <v>8.3000000000000007</v>
      </c>
      <c r="F31" s="254">
        <v>12.2</v>
      </c>
      <c r="G31" s="254">
        <v>14.8</v>
      </c>
      <c r="H31" s="254">
        <v>18.7</v>
      </c>
      <c r="I31" s="254">
        <v>19.899999999999999</v>
      </c>
      <c r="J31" s="254">
        <v>21.7</v>
      </c>
      <c r="K31" s="254">
        <v>22</v>
      </c>
      <c r="L31" s="254">
        <v>20.399999999999999</v>
      </c>
      <c r="M31" s="254">
        <v>19.600000000000001</v>
      </c>
      <c r="N31" s="254">
        <v>12.1</v>
      </c>
      <c r="O31" s="254">
        <v>5.2</v>
      </c>
      <c r="P31" s="1040"/>
      <c r="Q31" s="1074">
        <f>AVERAGE(B31:O31)</f>
        <v>14.084615384615383</v>
      </c>
      <c r="R31" s="1073">
        <f>MAX(B31:O31)</f>
        <v>22</v>
      </c>
      <c r="S31" s="1073">
        <f t="shared" si="6"/>
        <v>20.383333333333329</v>
      </c>
    </row>
    <row r="32" spans="1:19">
      <c r="A32" s="118" t="s">
        <v>141</v>
      </c>
      <c r="B32" s="453"/>
      <c r="C32" s="254">
        <v>3.8</v>
      </c>
      <c r="D32" s="254">
        <v>4.5</v>
      </c>
      <c r="E32" s="254">
        <v>8.1999999999999993</v>
      </c>
      <c r="F32" s="254">
        <v>12.1</v>
      </c>
      <c r="G32" s="254">
        <v>14.7</v>
      </c>
      <c r="H32" s="254">
        <v>18.5</v>
      </c>
      <c r="I32" s="254">
        <v>19.8</v>
      </c>
      <c r="J32" s="254">
        <v>21.7</v>
      </c>
      <c r="K32" s="254">
        <v>21.9</v>
      </c>
      <c r="L32" s="254">
        <v>20.399999999999999</v>
      </c>
      <c r="M32" s="254">
        <v>19.600000000000001</v>
      </c>
      <c r="N32" s="254">
        <v>12.1</v>
      </c>
      <c r="O32" s="254">
        <v>5.2</v>
      </c>
      <c r="P32" s="1040"/>
      <c r="Q32" s="1074">
        <f t="shared" ref="Q32:Q37" si="7">AVERAGE(B32:P32)</f>
        <v>14.038461538461537</v>
      </c>
      <c r="R32" s="1073">
        <f t="shared" ref="R32:R37" si="8">MAX(B32:P32)</f>
        <v>21.9</v>
      </c>
      <c r="S32" s="1073">
        <f t="shared" si="6"/>
        <v>20.316666666666666</v>
      </c>
    </row>
    <row r="33" spans="1:19">
      <c r="A33" s="118" t="s">
        <v>238</v>
      </c>
      <c r="B33" s="254"/>
      <c r="C33" s="254">
        <v>3.9</v>
      </c>
      <c r="D33" s="254">
        <v>4.5</v>
      </c>
      <c r="E33" s="254">
        <v>7.9</v>
      </c>
      <c r="F33" s="254">
        <v>12.1</v>
      </c>
      <c r="G33" s="254">
        <v>14.7</v>
      </c>
      <c r="H33" s="254">
        <v>18.100000000000001</v>
      </c>
      <c r="I33" s="254">
        <v>19.8</v>
      </c>
      <c r="J33" s="254">
        <v>21.8</v>
      </c>
      <c r="K33" s="254">
        <v>21.9</v>
      </c>
      <c r="L33" s="254">
        <v>20.399999999999999</v>
      </c>
      <c r="M33" s="254">
        <v>19.600000000000001</v>
      </c>
      <c r="N33" s="254">
        <v>12</v>
      </c>
      <c r="O33" s="254">
        <v>5.2</v>
      </c>
      <c r="P33" s="1040"/>
      <c r="Q33" s="1074">
        <f t="shared" si="7"/>
        <v>13.992307692307691</v>
      </c>
      <c r="R33" s="1073">
        <f t="shared" si="8"/>
        <v>21.9</v>
      </c>
      <c r="S33" s="1073">
        <f t="shared" si="6"/>
        <v>20.266666666666666</v>
      </c>
    </row>
    <row r="34" spans="1:19">
      <c r="A34" s="118" t="s">
        <v>142</v>
      </c>
      <c r="B34" s="254"/>
      <c r="C34" s="254">
        <v>4</v>
      </c>
      <c r="D34" s="254">
        <v>4.5</v>
      </c>
      <c r="E34" s="254">
        <v>7.9</v>
      </c>
      <c r="F34" s="254">
        <v>12.1</v>
      </c>
      <c r="G34" s="254">
        <v>1.6</v>
      </c>
      <c r="H34" s="254">
        <v>17.899999999999999</v>
      </c>
      <c r="I34" s="254">
        <v>19.7</v>
      </c>
      <c r="J34" s="254">
        <v>21.6</v>
      </c>
      <c r="K34" s="254">
        <v>21.9</v>
      </c>
      <c r="L34" s="254">
        <v>20.399999999999999</v>
      </c>
      <c r="M34" s="254">
        <v>19.600000000000001</v>
      </c>
      <c r="N34" s="254">
        <v>11.9</v>
      </c>
      <c r="O34" s="254">
        <v>5.2</v>
      </c>
      <c r="P34" s="1040"/>
      <c r="Q34" s="1074">
        <f t="shared" si="7"/>
        <v>12.946153846153846</v>
      </c>
      <c r="R34" s="1073">
        <f t="shared" si="8"/>
        <v>21.9</v>
      </c>
      <c r="S34" s="1073">
        <f t="shared" si="6"/>
        <v>20.183333333333334</v>
      </c>
    </row>
    <row r="35" spans="1:19">
      <c r="A35" s="118" t="s">
        <v>143</v>
      </c>
      <c r="B35" s="254"/>
      <c r="C35" s="254">
        <v>4.0999999999999996</v>
      </c>
      <c r="D35" s="254"/>
      <c r="E35" s="254">
        <v>7.3</v>
      </c>
      <c r="F35" s="254">
        <v>12</v>
      </c>
      <c r="G35" s="254">
        <v>14.6</v>
      </c>
      <c r="H35" s="254">
        <v>17.600000000000001</v>
      </c>
      <c r="I35" s="254">
        <v>19.600000000000001</v>
      </c>
      <c r="J35" s="254">
        <v>21.5</v>
      </c>
      <c r="K35" s="254">
        <v>21.8</v>
      </c>
      <c r="L35" s="254">
        <v>20.399999999999999</v>
      </c>
      <c r="M35" s="254">
        <v>19.600000000000001</v>
      </c>
      <c r="N35" s="254">
        <v>11.9</v>
      </c>
      <c r="O35" s="254">
        <v>5.2</v>
      </c>
      <c r="P35" s="1040"/>
      <c r="Q35" s="1074">
        <f t="shared" si="7"/>
        <v>14.633333333333333</v>
      </c>
      <c r="R35" s="1073">
        <f t="shared" si="8"/>
        <v>21.8</v>
      </c>
      <c r="S35" s="1073">
        <f t="shared" si="6"/>
        <v>20.083333333333332</v>
      </c>
    </row>
    <row r="36" spans="1:19">
      <c r="A36" s="118" t="s">
        <v>144</v>
      </c>
      <c r="B36" s="254"/>
      <c r="C36" s="254">
        <v>4.3</v>
      </c>
      <c r="D36" s="254"/>
      <c r="E36" s="254">
        <v>6.9</v>
      </c>
      <c r="F36" s="254">
        <v>11.9</v>
      </c>
      <c r="G36" s="254">
        <v>14.6</v>
      </c>
      <c r="H36" s="254">
        <v>17.399999999999999</v>
      </c>
      <c r="I36" s="254">
        <v>19.100000000000001</v>
      </c>
      <c r="J36" s="254">
        <v>21.1</v>
      </c>
      <c r="K36" s="254">
        <v>21.7</v>
      </c>
      <c r="L36" s="254">
        <v>20.3</v>
      </c>
      <c r="M36" s="254">
        <v>19.5</v>
      </c>
      <c r="N36" s="254">
        <v>11.9</v>
      </c>
      <c r="O36" s="254">
        <v>5.0999999999999996</v>
      </c>
      <c r="P36" s="1040"/>
      <c r="Q36" s="1074">
        <f t="shared" si="7"/>
        <v>14.483333333333334</v>
      </c>
      <c r="R36" s="1073">
        <f t="shared" si="8"/>
        <v>21.7</v>
      </c>
      <c r="S36" s="1073">
        <f t="shared" si="6"/>
        <v>19.849999999999998</v>
      </c>
    </row>
    <row r="37" spans="1:19">
      <c r="A37" s="118" t="s">
        <v>145</v>
      </c>
      <c r="B37" s="254"/>
      <c r="C37" s="254"/>
      <c r="D37" s="254"/>
      <c r="E37" s="254"/>
      <c r="F37" s="254"/>
      <c r="G37" s="254">
        <v>14.2</v>
      </c>
      <c r="H37" s="254">
        <v>17.100000000000001</v>
      </c>
      <c r="I37" s="254"/>
      <c r="J37" s="254">
        <v>20.9</v>
      </c>
      <c r="K37" s="254">
        <v>21.3</v>
      </c>
      <c r="L37" s="254">
        <v>20.3</v>
      </c>
      <c r="M37" s="254">
        <v>19.5</v>
      </c>
      <c r="N37" s="254">
        <v>11.8</v>
      </c>
      <c r="O37" s="254">
        <v>5.0999999999999996</v>
      </c>
      <c r="P37" s="1040"/>
      <c r="Q37" s="1074">
        <f t="shared" si="7"/>
        <v>16.274999999999999</v>
      </c>
      <c r="R37" s="1073">
        <f t="shared" si="8"/>
        <v>21.3</v>
      </c>
      <c r="S37" s="1073">
        <f t="shared" si="6"/>
        <v>19.82</v>
      </c>
    </row>
    <row r="38" spans="1:19">
      <c r="A38" s="118" t="s">
        <v>146</v>
      </c>
      <c r="B38" s="254"/>
      <c r="C38" s="254"/>
      <c r="D38" s="254"/>
      <c r="E38" s="254"/>
      <c r="F38" s="254"/>
      <c r="G38" s="254">
        <v>14.2</v>
      </c>
      <c r="H38" s="254">
        <v>16.3</v>
      </c>
      <c r="I38" s="254"/>
      <c r="J38" s="254"/>
      <c r="K38" s="254">
        <v>21.1</v>
      </c>
      <c r="L38" s="254"/>
      <c r="M38" s="254"/>
      <c r="N38" s="254"/>
      <c r="O38" s="254"/>
      <c r="P38" s="1040"/>
      <c r="Q38" s="1074">
        <f>AVERAGE(B38:O38)</f>
        <v>17.2</v>
      </c>
      <c r="R38" s="1073">
        <f>MAX(B38:O38)</f>
        <v>21.1</v>
      </c>
      <c r="S38" s="1073">
        <f t="shared" si="6"/>
        <v>18.700000000000003</v>
      </c>
    </row>
    <row r="39" spans="1:19">
      <c r="A39" s="118" t="s">
        <v>304</v>
      </c>
      <c r="B39" s="257"/>
      <c r="C39" s="257">
        <f>AVERAGE(C27:C30)</f>
        <v>2.9249999999999998</v>
      </c>
      <c r="D39" s="257">
        <f t="shared" ref="D39:O39" si="9">AVERAGE(D27:D30)</f>
        <v>4.7750000000000004</v>
      </c>
      <c r="E39" s="257">
        <f t="shared" si="9"/>
        <v>9.2249999999999996</v>
      </c>
      <c r="F39" s="257">
        <f t="shared" si="9"/>
        <v>12.45</v>
      </c>
      <c r="G39" s="257">
        <f t="shared" si="9"/>
        <v>15.225</v>
      </c>
      <c r="H39" s="257">
        <f t="shared" si="9"/>
        <v>19.5</v>
      </c>
      <c r="I39" s="257">
        <f t="shared" si="9"/>
        <v>20.399999999999999</v>
      </c>
      <c r="J39" s="257">
        <f t="shared" si="9"/>
        <v>22.099999999999998</v>
      </c>
      <c r="K39" s="257">
        <f t="shared" si="9"/>
        <v>22.425000000000001</v>
      </c>
      <c r="L39" s="257">
        <f t="shared" si="9"/>
        <v>20.824999999999999</v>
      </c>
      <c r="M39" s="257">
        <f t="shared" si="9"/>
        <v>19.925000000000001</v>
      </c>
      <c r="N39" s="257">
        <f t="shared" si="9"/>
        <v>12.375</v>
      </c>
      <c r="O39" s="257">
        <f t="shared" si="9"/>
        <v>5.3250000000000002</v>
      </c>
      <c r="P39" s="257"/>
      <c r="Q39" s="1072">
        <f>AVERAGE(Q27:Q30)</f>
        <v>14.421153846153846</v>
      </c>
      <c r="R39" s="1072">
        <f>AVERAGE(R27:R30)</f>
        <v>22.425000000000001</v>
      </c>
      <c r="S39" s="1072">
        <f>AVERAGE(S27:S30)</f>
        <v>20.862500000000001</v>
      </c>
    </row>
    <row r="40" spans="1:19">
      <c r="A40" s="118" t="s">
        <v>302</v>
      </c>
      <c r="B40" s="257"/>
      <c r="C40" s="257">
        <f>AVERAGE(C27:C38)</f>
        <v>3.5499999999999994</v>
      </c>
      <c r="D40" s="257">
        <f t="shared" ref="D40:O40" si="10">AVERAGE(D27:D38)</f>
        <v>4.6375000000000002</v>
      </c>
      <c r="E40" s="257">
        <f t="shared" si="10"/>
        <v>8.34</v>
      </c>
      <c r="F40" s="257">
        <f t="shared" si="10"/>
        <v>12.219999999999999</v>
      </c>
      <c r="G40" s="257">
        <f t="shared" si="10"/>
        <v>13.691666666666665</v>
      </c>
      <c r="H40" s="257">
        <f t="shared" si="10"/>
        <v>18.3</v>
      </c>
      <c r="I40" s="257">
        <f t="shared" si="10"/>
        <v>19.949999999999996</v>
      </c>
      <c r="J40" s="257">
        <f t="shared" si="10"/>
        <v>21.7</v>
      </c>
      <c r="K40" s="257">
        <f t="shared" si="10"/>
        <v>21.941666666666666</v>
      </c>
      <c r="L40" s="257">
        <f t="shared" si="10"/>
        <v>20.536363636363639</v>
      </c>
      <c r="M40" s="257">
        <f t="shared" si="10"/>
        <v>19.7</v>
      </c>
      <c r="N40" s="257">
        <f t="shared" si="10"/>
        <v>12.109090909090911</v>
      </c>
      <c r="O40" s="257">
        <f t="shared" si="10"/>
        <v>5.2272727272727275</v>
      </c>
      <c r="P40" s="257"/>
      <c r="Q40" s="1072">
        <f>AVERAGE(Q27:Q38)</f>
        <v>14.611485042735042</v>
      </c>
      <c r="R40" s="1072">
        <f>AVERAGE(R27:R38)</f>
        <v>21.941666666666666</v>
      </c>
      <c r="S40" s="1072">
        <f>AVERAGE(S27:S38)</f>
        <v>20.254444444444445</v>
      </c>
    </row>
    <row r="41" spans="1:19" ht="15" customHeight="1">
      <c r="A41" s="2301" t="s">
        <v>293</v>
      </c>
      <c r="B41" s="2302"/>
      <c r="C41" s="2302"/>
      <c r="D41" s="2302"/>
      <c r="E41" s="2302"/>
      <c r="F41" s="2302"/>
      <c r="G41" s="2302"/>
      <c r="H41" s="2302"/>
      <c r="I41" s="2302"/>
      <c r="J41" s="2302"/>
      <c r="K41" s="2302"/>
      <c r="L41" s="2302"/>
      <c r="M41" s="2302"/>
      <c r="N41" s="2302"/>
      <c r="O41" s="2302"/>
      <c r="P41" s="2302"/>
      <c r="Q41" s="2302"/>
      <c r="R41" s="2302"/>
      <c r="S41" s="2303"/>
    </row>
    <row r="42" spans="1:19">
      <c r="A42" s="118" t="s">
        <v>235</v>
      </c>
      <c r="B42" s="218"/>
      <c r="C42" s="218">
        <v>1.7</v>
      </c>
      <c r="D42" s="253">
        <v>5.5</v>
      </c>
      <c r="E42" s="253">
        <v>10.9</v>
      </c>
      <c r="F42" s="253">
        <v>13</v>
      </c>
      <c r="G42" s="253">
        <v>15.4</v>
      </c>
      <c r="H42" s="253">
        <v>20.100000000000001</v>
      </c>
      <c r="I42" s="253">
        <v>19.8</v>
      </c>
      <c r="J42" s="253">
        <v>22</v>
      </c>
      <c r="K42" s="253">
        <v>22.3</v>
      </c>
      <c r="L42" s="253">
        <v>21.3</v>
      </c>
      <c r="M42" s="253">
        <v>20.6</v>
      </c>
      <c r="N42" s="253">
        <v>12.6</v>
      </c>
      <c r="O42" s="253">
        <v>5.6</v>
      </c>
      <c r="P42" s="1039"/>
      <c r="Q42" s="1074">
        <f>AVERAGE(B42:P42)</f>
        <v>14.676923076923076</v>
      </c>
      <c r="R42" s="1073">
        <f>MAX(B42:P42)</f>
        <v>22.3</v>
      </c>
      <c r="S42" s="1073">
        <f t="shared" ref="S42:S50" si="11">AVERAGE(H42:M42)</f>
        <v>21.016666666666666</v>
      </c>
    </row>
    <row r="43" spans="1:19">
      <c r="A43" s="118" t="s">
        <v>139</v>
      </c>
      <c r="B43" s="218"/>
      <c r="C43" s="218">
        <v>2.8</v>
      </c>
      <c r="D43" s="253">
        <v>4.9000000000000004</v>
      </c>
      <c r="E43" s="253">
        <v>10.8</v>
      </c>
      <c r="F43" s="253">
        <v>12.5</v>
      </c>
      <c r="G43" s="253">
        <v>15.2</v>
      </c>
      <c r="H43" s="253">
        <v>19.3</v>
      </c>
      <c r="I43" s="253">
        <v>19.8</v>
      </c>
      <c r="J43" s="253">
        <v>22</v>
      </c>
      <c r="K43" s="253">
        <v>22.2</v>
      </c>
      <c r="L43" s="253">
        <v>21.3</v>
      </c>
      <c r="M43" s="253">
        <v>20.2</v>
      </c>
      <c r="N43" s="253">
        <v>12.6</v>
      </c>
      <c r="O43" s="253">
        <v>5.3</v>
      </c>
      <c r="P43" s="1039"/>
      <c r="Q43" s="1074">
        <f>AVERAGE(B43:P43)</f>
        <v>14.530769230769231</v>
      </c>
      <c r="R43" s="1073">
        <f>MAX(B43:P43)</f>
        <v>22.2</v>
      </c>
      <c r="S43" s="1073">
        <f t="shared" si="11"/>
        <v>20.8</v>
      </c>
    </row>
    <row r="44" spans="1:19">
      <c r="A44" s="118" t="s">
        <v>236</v>
      </c>
      <c r="B44" s="218"/>
      <c r="C44" s="218">
        <v>2.8</v>
      </c>
      <c r="D44" s="253">
        <v>5.3</v>
      </c>
      <c r="E44" s="253">
        <v>10.3</v>
      </c>
      <c r="F44" s="253">
        <v>12.6</v>
      </c>
      <c r="G44" s="253">
        <v>15.3</v>
      </c>
      <c r="H44" s="253">
        <v>18.899999999999999</v>
      </c>
      <c r="I44" s="253">
        <v>19.8</v>
      </c>
      <c r="J44" s="253">
        <v>21.8</v>
      </c>
      <c r="K44" s="253">
        <v>21.9</v>
      </c>
      <c r="L44" s="253">
        <v>20.5</v>
      </c>
      <c r="M44" s="253">
        <v>19.899999999999999</v>
      </c>
      <c r="N44" s="253">
        <v>12.4</v>
      </c>
      <c r="O44" s="253">
        <v>5.2</v>
      </c>
      <c r="P44" s="1039"/>
      <c r="Q44" s="1074">
        <f t="shared" ref="Q44:Q49" si="12">AVERAGE(B44:O44)</f>
        <v>14.36153846153846</v>
      </c>
      <c r="R44" s="1073">
        <f t="shared" ref="R44:R49" si="13">MAX(B44:O44)</f>
        <v>21.9</v>
      </c>
      <c r="S44" s="1073">
        <f t="shared" si="11"/>
        <v>20.466666666666669</v>
      </c>
    </row>
    <row r="45" spans="1:19">
      <c r="A45" s="118" t="s">
        <v>140</v>
      </c>
      <c r="B45" s="218"/>
      <c r="C45" s="218">
        <v>3.3</v>
      </c>
      <c r="D45" s="253">
        <v>4.7</v>
      </c>
      <c r="E45" s="253">
        <v>9.8000000000000007</v>
      </c>
      <c r="F45" s="253">
        <v>12.3</v>
      </c>
      <c r="G45" s="253">
        <v>15</v>
      </c>
      <c r="H45" s="253">
        <v>18.8</v>
      </c>
      <c r="I45" s="253">
        <v>19.8</v>
      </c>
      <c r="J45" s="253">
        <v>21.7</v>
      </c>
      <c r="K45" s="253">
        <v>21.9</v>
      </c>
      <c r="L45" s="253">
        <v>20.5</v>
      </c>
      <c r="M45" s="253">
        <v>19.7</v>
      </c>
      <c r="N45" s="253">
        <v>12</v>
      </c>
      <c r="O45" s="253">
        <v>5.0999999999999996</v>
      </c>
      <c r="P45" s="1039"/>
      <c r="Q45" s="1074">
        <f t="shared" si="12"/>
        <v>14.2</v>
      </c>
      <c r="R45" s="1073">
        <f t="shared" si="13"/>
        <v>21.9</v>
      </c>
      <c r="S45" s="1073">
        <f t="shared" si="11"/>
        <v>20.399999999999999</v>
      </c>
    </row>
    <row r="46" spans="1:19">
      <c r="A46" s="118" t="s">
        <v>237</v>
      </c>
      <c r="B46" s="218"/>
      <c r="C46" s="218">
        <v>3.5</v>
      </c>
      <c r="D46" s="253">
        <v>4.5999999999999996</v>
      </c>
      <c r="E46" s="253">
        <v>7.8</v>
      </c>
      <c r="F46" s="253">
        <v>12.3</v>
      </c>
      <c r="G46" s="253">
        <v>14.8</v>
      </c>
      <c r="H46" s="253">
        <v>18.7</v>
      </c>
      <c r="I46" s="253">
        <v>19.899999999999999</v>
      </c>
      <c r="J46" s="253">
        <v>21.7</v>
      </c>
      <c r="K46" s="253">
        <v>21.9</v>
      </c>
      <c r="L46" s="253">
        <v>20.399999999999999</v>
      </c>
      <c r="M46" s="253">
        <v>19.7</v>
      </c>
      <c r="N46" s="253">
        <v>11.9</v>
      </c>
      <c r="O46" s="253">
        <v>5.0999999999999996</v>
      </c>
      <c r="P46" s="1039"/>
      <c r="Q46" s="1074">
        <f t="shared" si="12"/>
        <v>14.023076923076921</v>
      </c>
      <c r="R46" s="1073">
        <f t="shared" si="13"/>
        <v>21.9</v>
      </c>
      <c r="S46" s="1073">
        <f t="shared" si="11"/>
        <v>20.383333333333333</v>
      </c>
    </row>
    <row r="47" spans="1:19">
      <c r="A47" s="118" t="s">
        <v>141</v>
      </c>
      <c r="B47" s="218"/>
      <c r="C47" s="218">
        <v>3.8</v>
      </c>
      <c r="D47" s="253">
        <v>4.5999999999999996</v>
      </c>
      <c r="E47" s="253">
        <v>8.3000000000000007</v>
      </c>
      <c r="F47" s="253">
        <v>12.3</v>
      </c>
      <c r="G47" s="253">
        <v>14.8</v>
      </c>
      <c r="H47" s="253">
        <v>18.5</v>
      </c>
      <c r="I47" s="253">
        <v>19.8</v>
      </c>
      <c r="J47" s="253">
        <v>21.7</v>
      </c>
      <c r="K47" s="253">
        <v>21.9</v>
      </c>
      <c r="L47" s="253">
        <v>20.399999999999999</v>
      </c>
      <c r="M47" s="253">
        <v>19.600000000000001</v>
      </c>
      <c r="N47" s="253">
        <v>11.8</v>
      </c>
      <c r="O47" s="253">
        <v>5.0999999999999996</v>
      </c>
      <c r="P47" s="1039"/>
      <c r="Q47" s="1074">
        <f t="shared" si="12"/>
        <v>14.046153846153846</v>
      </c>
      <c r="R47" s="1073">
        <f t="shared" si="13"/>
        <v>21.9</v>
      </c>
      <c r="S47" s="1073">
        <f t="shared" si="11"/>
        <v>20.316666666666666</v>
      </c>
    </row>
    <row r="48" spans="1:19">
      <c r="A48" s="118" t="s">
        <v>238</v>
      </c>
      <c r="B48" s="218"/>
      <c r="C48" s="218">
        <v>3.9</v>
      </c>
      <c r="D48" s="253">
        <v>4.5999999999999996</v>
      </c>
      <c r="E48" s="253">
        <v>8.1</v>
      </c>
      <c r="F48" s="253">
        <v>12.2</v>
      </c>
      <c r="G48" s="253">
        <v>14.8</v>
      </c>
      <c r="H48" s="253">
        <v>18.3</v>
      </c>
      <c r="I48" s="253">
        <v>19.8</v>
      </c>
      <c r="J48" s="253">
        <v>21.6</v>
      </c>
      <c r="K48" s="253">
        <v>21.9</v>
      </c>
      <c r="L48" s="253">
        <v>20.399999999999999</v>
      </c>
      <c r="M48" s="253">
        <v>19.600000000000001</v>
      </c>
      <c r="N48" s="253">
        <v>11.8</v>
      </c>
      <c r="O48" s="253">
        <v>5.0999999999999996</v>
      </c>
      <c r="P48" s="1039"/>
      <c r="Q48" s="1074">
        <f t="shared" si="12"/>
        <v>14.007692307692309</v>
      </c>
      <c r="R48" s="1073">
        <f t="shared" si="13"/>
        <v>21.9</v>
      </c>
      <c r="S48" s="1073">
        <f t="shared" si="11"/>
        <v>20.266666666666666</v>
      </c>
    </row>
    <row r="49" spans="1:19">
      <c r="A49" s="118" t="s">
        <v>142</v>
      </c>
      <c r="B49" s="218"/>
      <c r="C49" s="218">
        <v>4</v>
      </c>
      <c r="D49" s="253">
        <v>4.5</v>
      </c>
      <c r="E49" s="253">
        <v>8.1</v>
      </c>
      <c r="F49" s="253">
        <v>12.1</v>
      </c>
      <c r="G49" s="253">
        <v>14.7</v>
      </c>
      <c r="H49" s="253">
        <v>18.2</v>
      </c>
      <c r="I49" s="253">
        <v>19.8</v>
      </c>
      <c r="J49" s="253">
        <v>21.6</v>
      </c>
      <c r="K49" s="253">
        <v>21.8</v>
      </c>
      <c r="L49" s="253">
        <v>20.399999999999999</v>
      </c>
      <c r="M49" s="253">
        <v>19.600000000000001</v>
      </c>
      <c r="N49" s="253">
        <v>11.8</v>
      </c>
      <c r="O49" s="253">
        <v>5.0999999999999996</v>
      </c>
      <c r="P49" s="1039"/>
      <c r="Q49" s="1074">
        <f t="shared" si="12"/>
        <v>13.976923076923075</v>
      </c>
      <c r="R49" s="1073">
        <f t="shared" si="13"/>
        <v>21.8</v>
      </c>
      <c r="S49" s="1073">
        <f t="shared" si="11"/>
        <v>20.233333333333334</v>
      </c>
    </row>
    <row r="50" spans="1:19">
      <c r="A50" s="118" t="s">
        <v>143</v>
      </c>
      <c r="B50" s="218"/>
      <c r="C50" s="218">
        <v>3.7</v>
      </c>
      <c r="D50" s="253"/>
      <c r="E50" s="253">
        <v>7.9</v>
      </c>
      <c r="F50" s="253">
        <v>12</v>
      </c>
      <c r="G50" s="253">
        <v>14</v>
      </c>
      <c r="H50" s="253">
        <v>18</v>
      </c>
      <c r="I50" s="253">
        <v>19.5</v>
      </c>
      <c r="J50" s="253">
        <v>21.4</v>
      </c>
      <c r="K50" s="253">
        <v>21.8</v>
      </c>
      <c r="L50" s="253">
        <v>20.2</v>
      </c>
      <c r="M50" s="253">
        <v>19.5</v>
      </c>
      <c r="N50" s="253"/>
      <c r="O50" s="253"/>
      <c r="P50" s="238"/>
      <c r="Q50" s="1074">
        <f>AVERAGE(B50:P50)</f>
        <v>15.8</v>
      </c>
      <c r="R50" s="1073">
        <f>MAX(B50:P50)</f>
        <v>21.8</v>
      </c>
      <c r="S50" s="1073">
        <f t="shared" si="11"/>
        <v>20.066666666666666</v>
      </c>
    </row>
    <row r="51" spans="1:19">
      <c r="A51" s="118" t="s">
        <v>304</v>
      </c>
      <c r="B51" s="257"/>
      <c r="C51" s="257">
        <f>AVERAGE(C42:C45)</f>
        <v>2.65</v>
      </c>
      <c r="D51" s="257">
        <f t="shared" ref="D51:O51" si="14">AVERAGE(D42:D45)</f>
        <v>5.0999999999999996</v>
      </c>
      <c r="E51" s="257">
        <f t="shared" si="14"/>
        <v>10.45</v>
      </c>
      <c r="F51" s="257">
        <f t="shared" si="14"/>
        <v>12.600000000000001</v>
      </c>
      <c r="G51" s="257">
        <f t="shared" si="14"/>
        <v>15.225000000000001</v>
      </c>
      <c r="H51" s="257">
        <f t="shared" si="14"/>
        <v>19.275000000000002</v>
      </c>
      <c r="I51" s="257">
        <f t="shared" si="14"/>
        <v>19.8</v>
      </c>
      <c r="J51" s="257">
        <f t="shared" si="14"/>
        <v>21.875</v>
      </c>
      <c r="K51" s="257">
        <f t="shared" si="14"/>
        <v>22.075000000000003</v>
      </c>
      <c r="L51" s="257">
        <f t="shared" si="14"/>
        <v>20.9</v>
      </c>
      <c r="M51" s="257">
        <f t="shared" si="14"/>
        <v>20.099999999999998</v>
      </c>
      <c r="N51" s="257">
        <f t="shared" si="14"/>
        <v>12.4</v>
      </c>
      <c r="O51" s="257">
        <f t="shared" si="14"/>
        <v>5.2999999999999989</v>
      </c>
      <c r="P51" s="257"/>
      <c r="Q51" s="1072">
        <f>AVERAGE(Q42:Q45)</f>
        <v>14.44230769230769</v>
      </c>
      <c r="R51" s="1072">
        <f>AVERAGE(R42:R45)</f>
        <v>22.075000000000003</v>
      </c>
      <c r="S51" s="1072">
        <f>AVERAGE(S42:S45)</f>
        <v>20.670833333333334</v>
      </c>
    </row>
    <row r="52" spans="1:19">
      <c r="A52" s="118" t="s">
        <v>302</v>
      </c>
      <c r="B52" s="257"/>
      <c r="C52" s="257">
        <f t="shared" ref="C52:O52" si="15">AVERAGE(C42:C50)</f>
        <v>3.2777777777777772</v>
      </c>
      <c r="D52" s="257">
        <f t="shared" si="15"/>
        <v>4.8375000000000004</v>
      </c>
      <c r="E52" s="257">
        <f t="shared" si="15"/>
        <v>9.1111111111111089</v>
      </c>
      <c r="F52" s="257">
        <f t="shared" si="15"/>
        <v>12.366666666666667</v>
      </c>
      <c r="G52" s="257">
        <f t="shared" si="15"/>
        <v>14.888888888888889</v>
      </c>
      <c r="H52" s="257">
        <f t="shared" si="15"/>
        <v>18.755555555555556</v>
      </c>
      <c r="I52" s="257">
        <f t="shared" si="15"/>
        <v>19.777777777777779</v>
      </c>
      <c r="J52" s="257">
        <f t="shared" si="15"/>
        <v>21.722222222222221</v>
      </c>
      <c r="K52" s="257">
        <f t="shared" si="15"/>
        <v>21.955555555555563</v>
      </c>
      <c r="L52" s="257">
        <f t="shared" si="15"/>
        <v>20.6</v>
      </c>
      <c r="M52" s="257">
        <f t="shared" si="15"/>
        <v>19.822222222222219</v>
      </c>
      <c r="N52" s="257">
        <f t="shared" si="15"/>
        <v>12.112499999999999</v>
      </c>
      <c r="O52" s="257">
        <f t="shared" si="15"/>
        <v>5.2</v>
      </c>
      <c r="P52" s="257"/>
      <c r="Q52" s="1072">
        <f>AVERAGE(Q42:Q50)</f>
        <v>14.402564102564099</v>
      </c>
      <c r="R52" s="1072">
        <f>AVERAGE(R42:R50)</f>
        <v>21.955555555555563</v>
      </c>
      <c r="S52" s="1072">
        <f>AVERAGE(S42:S50)</f>
        <v>20.438888888888886</v>
      </c>
    </row>
    <row r="53" spans="1:19" ht="15" customHeight="1">
      <c r="A53" s="2240"/>
      <c r="B53" s="2240"/>
      <c r="C53" s="2240"/>
      <c r="D53" s="2240"/>
      <c r="E53" s="2240"/>
      <c r="F53" s="2240"/>
      <c r="G53" s="2240"/>
      <c r="H53" s="2240"/>
      <c r="I53" s="2240"/>
      <c r="J53" s="2240"/>
      <c r="K53" s="2240"/>
      <c r="L53" s="2240"/>
      <c r="M53" s="2240"/>
      <c r="N53" s="2240"/>
      <c r="O53" s="2240"/>
      <c r="P53" s="2240"/>
      <c r="Q53" s="2240"/>
      <c r="R53" s="2240"/>
      <c r="S53" s="2240"/>
    </row>
    <row r="54" spans="1:19">
      <c r="A54" s="80"/>
      <c r="B54" s="453"/>
      <c r="C54" s="453"/>
      <c r="D54" s="453"/>
      <c r="E54" s="465"/>
      <c r="F54" s="453"/>
      <c r="G54" s="453"/>
      <c r="H54" s="453"/>
      <c r="I54" s="453"/>
      <c r="J54" s="453"/>
      <c r="K54" s="453"/>
      <c r="L54" s="453"/>
      <c r="M54" s="466"/>
      <c r="N54" s="453"/>
      <c r="O54" s="466"/>
      <c r="P54" s="466"/>
      <c r="Q54" s="44"/>
      <c r="R54" s="44"/>
      <c r="S54" s="44"/>
    </row>
    <row r="55" spans="1:19">
      <c r="A55" s="80"/>
      <c r="B55" s="453"/>
      <c r="C55" s="453"/>
      <c r="D55" s="453"/>
      <c r="E55" s="465"/>
      <c r="F55" s="453"/>
      <c r="G55" s="453"/>
      <c r="H55" s="453"/>
      <c r="I55" s="453"/>
      <c r="J55" s="453"/>
      <c r="K55" s="453"/>
      <c r="L55" s="453"/>
      <c r="M55" s="466"/>
      <c r="N55" s="453"/>
      <c r="O55" s="466"/>
      <c r="P55" s="466"/>
      <c r="Q55" s="44"/>
      <c r="R55" s="44"/>
      <c r="S55" s="44"/>
    </row>
    <row r="56" spans="1:19">
      <c r="A56" s="80"/>
      <c r="B56" s="453"/>
      <c r="C56" s="453"/>
      <c r="D56" s="453"/>
      <c r="E56" s="465"/>
      <c r="F56" s="453"/>
      <c r="G56" s="453"/>
      <c r="H56" s="453"/>
      <c r="I56" s="453"/>
      <c r="J56" s="453"/>
      <c r="K56" s="453"/>
      <c r="L56" s="453"/>
      <c r="M56" s="466"/>
      <c r="N56" s="453"/>
      <c r="O56" s="466"/>
      <c r="P56" s="466"/>
      <c r="Q56" s="44"/>
      <c r="R56" s="44"/>
      <c r="S56" s="44"/>
    </row>
    <row r="57" spans="1:19">
      <c r="A57" s="80"/>
      <c r="B57" s="453"/>
      <c r="C57" s="453"/>
      <c r="D57" s="453"/>
      <c r="E57" s="465"/>
      <c r="F57" s="453"/>
      <c r="G57" s="453"/>
      <c r="H57" s="453"/>
      <c r="I57" s="453"/>
      <c r="J57" s="453"/>
      <c r="K57" s="453"/>
      <c r="L57" s="453"/>
      <c r="M57" s="466"/>
      <c r="N57" s="453"/>
      <c r="O57" s="466"/>
      <c r="P57" s="466"/>
      <c r="Q57" s="44"/>
      <c r="R57" s="44"/>
      <c r="S57" s="44"/>
    </row>
    <row r="58" spans="1:19">
      <c r="A58" s="80"/>
      <c r="B58" s="453"/>
      <c r="C58" s="453"/>
      <c r="D58" s="453"/>
      <c r="E58" s="465"/>
      <c r="F58" s="453"/>
      <c r="G58" s="453"/>
      <c r="H58" s="453"/>
      <c r="I58" s="453"/>
      <c r="J58" s="453"/>
      <c r="K58" s="453"/>
      <c r="L58" s="453"/>
      <c r="M58" s="466"/>
      <c r="N58" s="453"/>
      <c r="O58" s="466"/>
      <c r="P58" s="466"/>
      <c r="Q58" s="44"/>
      <c r="R58" s="44"/>
      <c r="S58" s="44"/>
    </row>
    <row r="59" spans="1:19">
      <c r="A59" s="80"/>
      <c r="B59" s="453"/>
      <c r="C59" s="453"/>
      <c r="D59" s="453"/>
      <c r="E59" s="465"/>
      <c r="F59" s="453"/>
      <c r="G59" s="453"/>
      <c r="H59" s="453"/>
      <c r="I59" s="453"/>
      <c r="J59" s="453"/>
      <c r="K59" s="453"/>
      <c r="L59" s="453"/>
      <c r="M59" s="466"/>
      <c r="N59" s="453"/>
      <c r="O59" s="466"/>
      <c r="P59" s="466"/>
      <c r="Q59" s="44"/>
      <c r="R59" s="44"/>
      <c r="S59" s="44"/>
    </row>
    <row r="60" spans="1:19">
      <c r="A60" s="80"/>
      <c r="B60" s="453"/>
      <c r="C60" s="453"/>
      <c r="D60" s="453"/>
      <c r="E60" s="465"/>
      <c r="F60" s="453"/>
      <c r="G60" s="453"/>
      <c r="H60" s="453"/>
      <c r="I60" s="453"/>
      <c r="J60" s="453"/>
      <c r="K60" s="453"/>
      <c r="L60" s="453"/>
      <c r="M60" s="466"/>
      <c r="N60" s="453"/>
      <c r="O60" s="466"/>
      <c r="P60" s="466"/>
      <c r="Q60" s="44"/>
      <c r="R60" s="44"/>
      <c r="S60" s="44"/>
    </row>
    <row r="61" spans="1:19">
      <c r="A61" s="80"/>
      <c r="B61" s="453"/>
      <c r="C61" s="453"/>
      <c r="D61" s="453"/>
      <c r="E61" s="465"/>
      <c r="F61" s="453"/>
      <c r="G61" s="453"/>
      <c r="H61" s="453"/>
      <c r="I61" s="453"/>
      <c r="J61" s="453"/>
      <c r="K61" s="453"/>
      <c r="L61" s="453"/>
      <c r="M61" s="466"/>
      <c r="N61" s="453"/>
      <c r="O61" s="466"/>
      <c r="P61" s="466"/>
      <c r="Q61" s="44"/>
      <c r="R61" s="44"/>
      <c r="S61" s="44"/>
    </row>
    <row r="62" spans="1:19">
      <c r="A62" s="80"/>
      <c r="B62" s="453"/>
      <c r="C62" s="453"/>
      <c r="D62" s="453"/>
      <c r="E62" s="453"/>
      <c r="F62" s="453"/>
      <c r="G62" s="453"/>
      <c r="H62" s="453"/>
      <c r="I62" s="453"/>
      <c r="J62" s="453"/>
      <c r="K62" s="453"/>
      <c r="L62" s="453"/>
      <c r="M62" s="466"/>
      <c r="N62" s="453"/>
      <c r="O62" s="466"/>
      <c r="P62" s="466"/>
      <c r="Q62" s="44"/>
      <c r="R62" s="44"/>
      <c r="S62" s="44"/>
    </row>
    <row r="63" spans="1:19">
      <c r="A63" s="80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44"/>
      <c r="S63" s="44"/>
    </row>
    <row r="64" spans="1:19">
      <c r="A64" s="80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44"/>
      <c r="S64" s="44"/>
    </row>
    <row r="65" spans="1:19" ht="15" customHeight="1">
      <c r="A65" s="2240"/>
      <c r="B65" s="2240"/>
      <c r="C65" s="2240"/>
      <c r="D65" s="2240"/>
      <c r="E65" s="2240"/>
      <c r="F65" s="2240"/>
      <c r="G65" s="2240"/>
      <c r="H65" s="2240"/>
      <c r="I65" s="2240"/>
      <c r="J65" s="2240"/>
      <c r="K65" s="2240"/>
      <c r="L65" s="2240"/>
      <c r="M65" s="2240"/>
      <c r="N65" s="2240"/>
      <c r="O65" s="2240"/>
      <c r="P65" s="2240"/>
      <c r="Q65" s="2240"/>
      <c r="R65" s="2240"/>
      <c r="S65" s="2240"/>
    </row>
    <row r="66" spans="1:19">
      <c r="A66" s="80"/>
      <c r="B66" s="453"/>
      <c r="C66" s="453"/>
      <c r="D66" s="453"/>
      <c r="E66" s="453"/>
      <c r="F66" s="453"/>
      <c r="G66" s="453"/>
      <c r="H66" s="453"/>
      <c r="I66" s="453"/>
      <c r="J66" s="453"/>
      <c r="K66" s="453"/>
      <c r="L66" s="453"/>
      <c r="M66" s="453"/>
      <c r="N66" s="453"/>
      <c r="O66" s="453"/>
      <c r="P66" s="453"/>
      <c r="Q66" s="44"/>
      <c r="R66" s="44"/>
      <c r="S66" s="44"/>
    </row>
    <row r="67" spans="1:19">
      <c r="A67" s="80"/>
      <c r="B67" s="453"/>
      <c r="C67" s="453"/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4"/>
      <c r="R67" s="44"/>
      <c r="S67" s="44"/>
    </row>
    <row r="68" spans="1:19">
      <c r="A68" s="80"/>
      <c r="B68" s="453"/>
      <c r="C68" s="453"/>
      <c r="D68" s="453"/>
      <c r="E68" s="453"/>
      <c r="F68" s="453"/>
      <c r="G68" s="453"/>
      <c r="H68" s="453"/>
      <c r="I68" s="453"/>
      <c r="J68" s="453"/>
      <c r="K68" s="453"/>
      <c r="L68" s="453"/>
      <c r="M68" s="453"/>
      <c r="N68" s="453"/>
      <c r="O68" s="453"/>
      <c r="P68" s="453"/>
      <c r="Q68" s="44"/>
      <c r="R68" s="44"/>
      <c r="S68" s="44"/>
    </row>
    <row r="69" spans="1:19">
      <c r="A69" s="80"/>
      <c r="B69" s="453"/>
      <c r="C69" s="453"/>
      <c r="D69" s="453"/>
      <c r="E69" s="453"/>
      <c r="F69" s="453"/>
      <c r="G69" s="453"/>
      <c r="H69" s="453"/>
      <c r="I69" s="453"/>
      <c r="J69" s="453"/>
      <c r="K69" s="453"/>
      <c r="L69" s="453"/>
      <c r="M69" s="453"/>
      <c r="N69" s="453"/>
      <c r="O69" s="453"/>
      <c r="P69" s="453"/>
      <c r="Q69" s="44"/>
      <c r="R69" s="44"/>
      <c r="S69" s="44"/>
    </row>
    <row r="70" spans="1:19">
      <c r="A70" s="80"/>
      <c r="B70" s="453"/>
      <c r="C70" s="453"/>
      <c r="D70" s="453"/>
      <c r="E70" s="453"/>
      <c r="F70" s="453"/>
      <c r="G70" s="453"/>
      <c r="H70" s="453"/>
      <c r="I70" s="453"/>
      <c r="J70" s="453"/>
      <c r="K70" s="453"/>
      <c r="L70" s="453"/>
      <c r="M70" s="453"/>
      <c r="N70" s="453"/>
      <c r="O70" s="453"/>
      <c r="P70" s="453"/>
      <c r="Q70" s="44"/>
      <c r="R70" s="44"/>
      <c r="S70" s="44"/>
    </row>
    <row r="71" spans="1:19">
      <c r="A71" s="80"/>
      <c r="B71" s="453"/>
      <c r="C71" s="453"/>
      <c r="D71" s="453"/>
      <c r="E71" s="453"/>
      <c r="F71" s="453"/>
      <c r="G71" s="453"/>
      <c r="H71" s="453"/>
      <c r="I71" s="453"/>
      <c r="J71" s="453"/>
      <c r="K71" s="453"/>
      <c r="L71" s="453"/>
      <c r="M71" s="453"/>
      <c r="N71" s="453"/>
      <c r="O71" s="453"/>
      <c r="P71" s="453"/>
      <c r="Q71" s="44"/>
      <c r="R71" s="44"/>
      <c r="S71" s="44"/>
    </row>
    <row r="72" spans="1:19">
      <c r="A72" s="80"/>
      <c r="B72" s="453"/>
      <c r="C72" s="453"/>
      <c r="D72" s="453"/>
      <c r="E72" s="453"/>
      <c r="F72" s="453"/>
      <c r="G72" s="453"/>
      <c r="H72" s="453"/>
      <c r="I72" s="453"/>
      <c r="J72" s="453"/>
      <c r="K72" s="453"/>
      <c r="L72" s="453"/>
      <c r="M72" s="453"/>
      <c r="N72" s="453"/>
      <c r="O72" s="453"/>
      <c r="P72" s="453"/>
      <c r="Q72" s="44"/>
      <c r="R72" s="44"/>
      <c r="S72" s="44"/>
    </row>
    <row r="73" spans="1:19">
      <c r="A73" s="80"/>
      <c r="B73" s="453"/>
      <c r="C73" s="453"/>
      <c r="D73" s="453"/>
      <c r="E73" s="453"/>
      <c r="F73" s="453"/>
      <c r="G73" s="453"/>
      <c r="H73" s="453"/>
      <c r="I73" s="453"/>
      <c r="J73" s="453"/>
      <c r="K73" s="453"/>
      <c r="L73" s="453"/>
      <c r="M73" s="453"/>
      <c r="N73" s="453"/>
      <c r="O73" s="453"/>
      <c r="P73" s="453"/>
      <c r="Q73" s="44"/>
      <c r="R73" s="44"/>
      <c r="S73" s="44"/>
    </row>
    <row r="74" spans="1:19">
      <c r="A74" s="80"/>
      <c r="B74" s="453"/>
      <c r="C74" s="453"/>
      <c r="D74" s="453"/>
      <c r="E74" s="453"/>
      <c r="F74" s="453"/>
      <c r="G74" s="453"/>
      <c r="H74" s="453"/>
      <c r="I74" s="453"/>
      <c r="J74" s="453"/>
      <c r="K74" s="453"/>
      <c r="L74" s="453"/>
      <c r="M74" s="453"/>
      <c r="N74" s="453"/>
      <c r="O74" s="453"/>
      <c r="P74" s="453"/>
      <c r="Q74" s="44"/>
      <c r="R74" s="44"/>
      <c r="S74" s="44"/>
    </row>
    <row r="75" spans="1:19">
      <c r="A75" s="80"/>
      <c r="B75" s="453"/>
      <c r="C75" s="453"/>
      <c r="D75" s="453"/>
      <c r="E75" s="453"/>
      <c r="F75" s="453"/>
      <c r="G75" s="453"/>
      <c r="H75" s="453"/>
      <c r="I75" s="453"/>
      <c r="J75" s="453"/>
      <c r="K75" s="453"/>
      <c r="L75" s="453"/>
      <c r="M75" s="453"/>
      <c r="N75" s="453"/>
      <c r="O75" s="453"/>
      <c r="P75" s="453"/>
      <c r="Q75" s="44"/>
      <c r="R75" s="44"/>
      <c r="S75" s="44"/>
    </row>
    <row r="76" spans="1:19">
      <c r="A76" s="80"/>
      <c r="B76" s="453"/>
      <c r="C76" s="453"/>
      <c r="D76" s="453"/>
      <c r="E76" s="453"/>
      <c r="F76" s="453"/>
      <c r="G76" s="453"/>
      <c r="H76" s="453"/>
      <c r="I76" s="453"/>
      <c r="J76" s="453"/>
      <c r="K76" s="453"/>
      <c r="L76" s="453"/>
      <c r="M76" s="453"/>
      <c r="N76" s="453"/>
      <c r="O76" s="453"/>
      <c r="P76" s="453"/>
      <c r="Q76" s="44"/>
      <c r="R76" s="44"/>
      <c r="S76" s="44"/>
    </row>
    <row r="77" spans="1:19">
      <c r="A77" s="80"/>
      <c r="B77" s="453"/>
      <c r="C77" s="453"/>
      <c r="D77" s="453"/>
      <c r="E77" s="453"/>
      <c r="F77" s="453"/>
      <c r="G77" s="453"/>
      <c r="H77" s="453"/>
      <c r="I77" s="453"/>
      <c r="J77" s="453"/>
      <c r="K77" s="453"/>
      <c r="L77" s="453"/>
      <c r="M77" s="453"/>
      <c r="N77" s="453"/>
      <c r="O77" s="453"/>
      <c r="P77" s="453"/>
      <c r="Q77" s="44"/>
      <c r="R77" s="44"/>
      <c r="S77" s="44"/>
    </row>
    <row r="78" spans="1:19">
      <c r="A78" s="80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</row>
    <row r="79" spans="1:19">
      <c r="A79" s="80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</row>
  </sheetData>
  <mergeCells count="6">
    <mergeCell ref="A65:S65"/>
    <mergeCell ref="A1:O1"/>
    <mergeCell ref="A8:S8"/>
    <mergeCell ref="A26:S26"/>
    <mergeCell ref="A41:S41"/>
    <mergeCell ref="A53:S53"/>
  </mergeCells>
  <phoneticPr fontId="0" type="noConversion"/>
  <pageMargins left="0.75" right="0.75" top="1" bottom="1" header="0.5" footer="0.5"/>
  <pageSetup scale="4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>
    <tabColor rgb="FF92D050"/>
    <pageSetUpPr fitToPage="1"/>
  </sheetPr>
  <dimension ref="A1:S76"/>
  <sheetViews>
    <sheetView zoomScale="75" zoomScaleNormal="75" workbookViewId="0">
      <selection activeCell="B6" sqref="B6:P6"/>
    </sheetView>
  </sheetViews>
  <sheetFormatPr defaultColWidth="14.08984375" defaultRowHeight="14"/>
  <cols>
    <col min="1" max="1" width="31.6328125" style="1" customWidth="1"/>
    <col min="2" max="2" width="6.453125" bestFit="1" customWidth="1"/>
    <col min="3" max="3" width="8.08984375" bestFit="1" customWidth="1"/>
    <col min="4" max="4" width="6.81640625" bestFit="1" customWidth="1"/>
    <col min="5" max="5" width="6.36328125" bestFit="1" customWidth="1"/>
    <col min="6" max="6" width="6.90625" bestFit="1" customWidth="1"/>
    <col min="7" max="10" width="6.36328125" bestFit="1" customWidth="1"/>
    <col min="11" max="11" width="6.6328125" bestFit="1" customWidth="1"/>
    <col min="12" max="15" width="6.36328125" bestFit="1" customWidth="1"/>
    <col min="16" max="16" width="6.54296875" bestFit="1" customWidth="1"/>
    <col min="17" max="17" width="8.1796875" customWidth="1"/>
    <col min="18" max="18" width="7.81640625" bestFit="1" customWidth="1"/>
    <col min="19" max="19" width="10.81640625" customWidth="1"/>
  </cols>
  <sheetData>
    <row r="1" spans="1:19" ht="15.5">
      <c r="A1" s="2240" t="s">
        <v>855</v>
      </c>
      <c r="B1" s="2240"/>
      <c r="C1" s="2240"/>
      <c r="D1" s="2240"/>
      <c r="E1" s="2240"/>
      <c r="F1" s="2240"/>
      <c r="G1" s="2240"/>
      <c r="H1" s="2240"/>
      <c r="I1" s="2240"/>
      <c r="J1" s="2240"/>
      <c r="K1" s="2240"/>
      <c r="L1" s="2240"/>
      <c r="M1" s="2240"/>
      <c r="N1" s="2240"/>
      <c r="O1" s="2240"/>
      <c r="P1" s="1030"/>
    </row>
    <row r="2" spans="1:19" ht="26">
      <c r="A2" s="71"/>
      <c r="B2" s="1284">
        <v>43472</v>
      </c>
      <c r="C2" s="1284">
        <v>43507</v>
      </c>
      <c r="D2" s="1284">
        <v>43545</v>
      </c>
      <c r="E2" s="1284">
        <v>43563</v>
      </c>
      <c r="F2" s="1284">
        <v>43591</v>
      </c>
      <c r="G2" s="1284">
        <v>43626</v>
      </c>
      <c r="H2" s="1284">
        <v>43654</v>
      </c>
      <c r="I2" s="1284">
        <v>43661</v>
      </c>
      <c r="J2" s="1284">
        <v>43682</v>
      </c>
      <c r="K2" s="1284">
        <v>43690</v>
      </c>
      <c r="L2" s="1284">
        <v>43717</v>
      </c>
      <c r="M2" s="1284">
        <v>43724</v>
      </c>
      <c r="N2" s="1284">
        <v>43752</v>
      </c>
      <c r="O2" s="1284">
        <v>43783</v>
      </c>
      <c r="P2" s="1284">
        <v>43808</v>
      </c>
      <c r="Q2" s="1080" t="s">
        <v>84</v>
      </c>
      <c r="R2" s="1081" t="s">
        <v>76</v>
      </c>
      <c r="S2" s="1081" t="s">
        <v>102</v>
      </c>
    </row>
    <row r="3" spans="1:19">
      <c r="A3" s="2152" t="s">
        <v>1686</v>
      </c>
      <c r="B3" s="2153"/>
      <c r="C3" s="2155">
        <v>1695</v>
      </c>
      <c r="D3" s="2153">
        <v>1578</v>
      </c>
      <c r="E3" s="2153">
        <v>865</v>
      </c>
      <c r="F3" s="2153">
        <v>1308</v>
      </c>
      <c r="G3" s="2153">
        <v>776</v>
      </c>
      <c r="H3" s="2153">
        <v>1098</v>
      </c>
      <c r="I3" s="2153"/>
      <c r="J3" s="2153">
        <v>1177</v>
      </c>
      <c r="K3" s="2153"/>
      <c r="L3" s="2153">
        <v>1899</v>
      </c>
      <c r="M3" s="2153">
        <v>1580</v>
      </c>
      <c r="N3" s="2153">
        <v>2126</v>
      </c>
      <c r="O3" s="2153">
        <v>1502</v>
      </c>
      <c r="P3" s="2154">
        <v>2015</v>
      </c>
      <c r="Q3" s="1074">
        <f>AVERAGE(B4:P4)</f>
        <v>1546.5333333333333</v>
      </c>
      <c r="R3" s="1073">
        <f>MAX(B3:P3)</f>
        <v>2126</v>
      </c>
      <c r="S3" s="1073">
        <f>AVERAGE(H3:M3)</f>
        <v>1438.5</v>
      </c>
    </row>
    <row r="4" spans="1:19">
      <c r="A4" s="1094" t="s">
        <v>297</v>
      </c>
      <c r="B4" s="1097">
        <v>2144</v>
      </c>
      <c r="C4" s="1097">
        <v>1703</v>
      </c>
      <c r="D4" s="1097">
        <v>1579</v>
      </c>
      <c r="E4" s="1097">
        <v>868</v>
      </c>
      <c r="F4" s="1097">
        <v>1321</v>
      </c>
      <c r="G4" s="1097">
        <v>782</v>
      </c>
      <c r="H4" s="1097">
        <v>1075</v>
      </c>
      <c r="I4" s="1097">
        <v>1497</v>
      </c>
      <c r="J4" s="62">
        <v>1189</v>
      </c>
      <c r="K4" s="1097">
        <v>1398</v>
      </c>
      <c r="L4" s="1097">
        <v>1870</v>
      </c>
      <c r="M4" s="1097">
        <v>2104</v>
      </c>
      <c r="N4" s="1097">
        <v>2145</v>
      </c>
      <c r="O4" s="1097">
        <v>1557</v>
      </c>
      <c r="P4" s="1101">
        <v>1966</v>
      </c>
      <c r="Q4" s="1074">
        <f>AVERAGE(B5:P5)</f>
        <v>312.72666666666669</v>
      </c>
      <c r="R4" s="1073">
        <f>MAX(B4:P4)</f>
        <v>2145</v>
      </c>
      <c r="S4" s="1073">
        <f>AVERAGE(H4:M4)</f>
        <v>1522.1666666666667</v>
      </c>
    </row>
    <row r="5" spans="1:19" s="6" customFormat="1">
      <c r="A5" s="1095" t="s">
        <v>298</v>
      </c>
      <c r="B5" s="1097">
        <v>504.1</v>
      </c>
      <c r="C5" s="1097">
        <v>472.4</v>
      </c>
      <c r="D5" s="1097">
        <v>604</v>
      </c>
      <c r="E5" s="1097">
        <v>459</v>
      </c>
      <c r="F5" s="1097">
        <v>361.8</v>
      </c>
      <c r="G5" s="1097">
        <v>166.4</v>
      </c>
      <c r="H5" s="1097">
        <v>144</v>
      </c>
      <c r="I5" s="1097">
        <v>130</v>
      </c>
      <c r="J5" s="62">
        <v>179.5</v>
      </c>
      <c r="K5" s="1097">
        <v>172.7</v>
      </c>
      <c r="L5" s="1097">
        <v>213.5</v>
      </c>
      <c r="M5" s="1097">
        <v>226</v>
      </c>
      <c r="N5" s="1097">
        <v>256.2</v>
      </c>
      <c r="O5" s="1097">
        <v>332.5</v>
      </c>
      <c r="P5" s="1101">
        <v>468.8</v>
      </c>
      <c r="Q5" s="1074">
        <f>AVERAGE(B5:P5)</f>
        <v>312.72666666666669</v>
      </c>
      <c r="R5" s="1073">
        <f>MAX(B5:Q5)</f>
        <v>604</v>
      </c>
      <c r="S5" s="1073">
        <f>AVERAGE(H5:M5)</f>
        <v>177.61666666666667</v>
      </c>
    </row>
    <row r="6" spans="1:19">
      <c r="A6" s="1095" t="s">
        <v>299</v>
      </c>
      <c r="B6" s="1097">
        <v>753.2</v>
      </c>
      <c r="C6" s="1097">
        <v>794</v>
      </c>
      <c r="D6" s="1097">
        <v>857</v>
      </c>
      <c r="E6" s="1097">
        <v>893</v>
      </c>
      <c r="F6" s="1097">
        <v>720</v>
      </c>
      <c r="G6" s="1097">
        <v>433.6</v>
      </c>
      <c r="H6" s="1097">
        <v>245.8</v>
      </c>
      <c r="I6" s="1097">
        <v>234.2</v>
      </c>
      <c r="J6" s="62">
        <v>253.5</v>
      </c>
      <c r="K6" s="1097">
        <v>262.8</v>
      </c>
      <c r="L6" s="1097">
        <v>291.7</v>
      </c>
      <c r="M6" s="1097">
        <v>302.60000000000002</v>
      </c>
      <c r="N6" s="1097">
        <v>366.1</v>
      </c>
      <c r="O6" s="1097">
        <v>478.7</v>
      </c>
      <c r="P6" s="1101">
        <v>546.6</v>
      </c>
      <c r="Q6" s="1074">
        <f>AVERAGE(B6:P6)</f>
        <v>495.5200000000001</v>
      </c>
      <c r="R6" s="1073">
        <f>MAX(E6:Q6)</f>
        <v>893</v>
      </c>
      <c r="S6" s="1073">
        <f>AVERAGE(H6:M6)</f>
        <v>265.09999999999997</v>
      </c>
    </row>
    <row r="7" spans="1:19">
      <c r="A7" s="1095" t="s">
        <v>861</v>
      </c>
      <c r="B7" s="1097">
        <v>935</v>
      </c>
      <c r="C7" s="1097">
        <v>942</v>
      </c>
      <c r="D7" s="1097">
        <v>970</v>
      </c>
      <c r="E7" s="1097">
        <v>962</v>
      </c>
      <c r="F7" s="1097">
        <v>787</v>
      </c>
      <c r="G7" s="1097">
        <v>407.8</v>
      </c>
      <c r="H7" s="1097">
        <v>283.7</v>
      </c>
      <c r="I7" s="1097">
        <v>288.8</v>
      </c>
      <c r="J7" s="62">
        <v>321.10000000000002</v>
      </c>
      <c r="K7" s="1097">
        <v>352.3</v>
      </c>
      <c r="L7" s="1097">
        <v>443.9</v>
      </c>
      <c r="M7" s="1097">
        <v>570</v>
      </c>
      <c r="N7" s="1097">
        <v>576</v>
      </c>
      <c r="O7" s="1097">
        <v>734.9</v>
      </c>
      <c r="P7" s="1101">
        <v>795</v>
      </c>
      <c r="Q7" s="1074">
        <f>AVERAGE(B7:P7)</f>
        <v>624.63333333333333</v>
      </c>
      <c r="R7" s="1073">
        <f>MAX(E7:Q7)</f>
        <v>962</v>
      </c>
      <c r="S7" s="1073">
        <f>AVERAGE(H7:M7)</f>
        <v>376.63333333333338</v>
      </c>
    </row>
    <row r="8" spans="1:19" ht="15.5">
      <c r="A8" s="2307" t="s">
        <v>291</v>
      </c>
      <c r="B8" s="2308"/>
      <c r="C8" s="2308"/>
      <c r="D8" s="2308"/>
      <c r="E8" s="2308"/>
      <c r="F8" s="2308"/>
      <c r="G8" s="2308"/>
      <c r="H8" s="2308"/>
      <c r="I8" s="2308"/>
      <c r="J8" s="2308"/>
      <c r="K8" s="2308"/>
      <c r="L8" s="2308"/>
      <c r="M8" s="2308"/>
      <c r="N8" s="2308"/>
      <c r="O8" s="2308"/>
      <c r="P8" s="2308"/>
      <c r="Q8" s="2308"/>
      <c r="R8" s="2308"/>
      <c r="S8" s="2309"/>
    </row>
    <row r="9" spans="1:19">
      <c r="A9" s="118" t="s">
        <v>235</v>
      </c>
      <c r="B9" s="1097">
        <v>714</v>
      </c>
      <c r="C9" s="1097">
        <v>702</v>
      </c>
      <c r="D9" s="1097">
        <v>863</v>
      </c>
      <c r="E9" s="1097">
        <v>886</v>
      </c>
      <c r="F9" s="1097">
        <v>720</v>
      </c>
      <c r="G9" s="245">
        <v>431.6</v>
      </c>
      <c r="H9" s="245">
        <v>238.6</v>
      </c>
      <c r="I9" s="245">
        <v>232.7</v>
      </c>
      <c r="J9" s="694">
        <v>242.7</v>
      </c>
      <c r="K9" s="245">
        <v>256</v>
      </c>
      <c r="L9" s="245">
        <v>287.7</v>
      </c>
      <c r="M9" s="245">
        <v>295.39999999999998</v>
      </c>
      <c r="N9" s="245">
        <v>350.5</v>
      </c>
      <c r="O9" s="245">
        <v>475.2</v>
      </c>
      <c r="P9" s="1098">
        <v>568.9</v>
      </c>
      <c r="Q9" s="1074">
        <f t="shared" ref="Q9:Q22" si="0">AVERAGE(B9:P9)</f>
        <v>484.28666666666663</v>
      </c>
      <c r="R9" s="1073">
        <f t="shared" ref="R9:R22" si="1">MAX(B9:P9)</f>
        <v>886</v>
      </c>
      <c r="S9" s="1073">
        <f t="shared" ref="S9:S22" si="2">AVERAGE(H9:M9)</f>
        <v>258.84999999999997</v>
      </c>
    </row>
    <row r="10" spans="1:19">
      <c r="A10" s="118" t="s">
        <v>139</v>
      </c>
      <c r="B10" s="1097">
        <v>715</v>
      </c>
      <c r="C10" s="1097">
        <v>706</v>
      </c>
      <c r="D10" s="1097">
        <v>864</v>
      </c>
      <c r="E10" s="1097">
        <v>883</v>
      </c>
      <c r="F10" s="1097">
        <v>720</v>
      </c>
      <c r="G10" s="245">
        <v>429.7</v>
      </c>
      <c r="H10" s="245">
        <v>239.3</v>
      </c>
      <c r="I10" s="245">
        <v>251.5</v>
      </c>
      <c r="J10" s="694">
        <v>242.7</v>
      </c>
      <c r="K10" s="245">
        <v>256</v>
      </c>
      <c r="L10" s="245">
        <v>287.5</v>
      </c>
      <c r="M10" s="245">
        <v>295.2</v>
      </c>
      <c r="N10" s="245">
        <v>350.7</v>
      </c>
      <c r="O10" s="245">
        <v>474.6</v>
      </c>
      <c r="P10" s="1098">
        <v>570.70000000000005</v>
      </c>
      <c r="Q10" s="1074">
        <f t="shared" si="0"/>
        <v>485.72666666666663</v>
      </c>
      <c r="R10" s="1073">
        <f t="shared" si="1"/>
        <v>883</v>
      </c>
      <c r="S10" s="1073">
        <f t="shared" si="2"/>
        <v>262.03333333333336</v>
      </c>
    </row>
    <row r="11" spans="1:19">
      <c r="A11" s="118" t="s">
        <v>236</v>
      </c>
      <c r="B11" s="1097">
        <v>726</v>
      </c>
      <c r="C11" s="1097">
        <v>717</v>
      </c>
      <c r="D11" s="1097">
        <v>864</v>
      </c>
      <c r="E11" s="1097">
        <v>888</v>
      </c>
      <c r="F11" s="1097">
        <v>720</v>
      </c>
      <c r="G11" s="245">
        <v>429.8</v>
      </c>
      <c r="H11" s="245">
        <v>238.2</v>
      </c>
      <c r="I11" s="245">
        <v>231</v>
      </c>
      <c r="J11" s="694">
        <v>242.3</v>
      </c>
      <c r="K11" s="245">
        <v>256.10000000000002</v>
      </c>
      <c r="L11" s="245">
        <v>288.10000000000002</v>
      </c>
      <c r="M11" s="245">
        <v>295.2</v>
      </c>
      <c r="N11" s="245">
        <v>351</v>
      </c>
      <c r="O11" s="245">
        <v>474.7</v>
      </c>
      <c r="P11" s="1098">
        <v>566</v>
      </c>
      <c r="Q11" s="1074">
        <f t="shared" si="0"/>
        <v>485.82666666666671</v>
      </c>
      <c r="R11" s="1073">
        <f t="shared" si="1"/>
        <v>888</v>
      </c>
      <c r="S11" s="1073">
        <f t="shared" si="2"/>
        <v>258.48333333333335</v>
      </c>
    </row>
    <row r="12" spans="1:19">
      <c r="A12" s="118" t="s">
        <v>140</v>
      </c>
      <c r="B12" s="1097">
        <v>733</v>
      </c>
      <c r="C12" s="1097">
        <v>741</v>
      </c>
      <c r="D12" s="1097">
        <v>864</v>
      </c>
      <c r="E12" s="1097">
        <v>893</v>
      </c>
      <c r="F12" s="1097">
        <v>720</v>
      </c>
      <c r="G12" s="245">
        <v>434.4</v>
      </c>
      <c r="H12" s="245">
        <v>240.4</v>
      </c>
      <c r="I12" s="245">
        <v>230.1</v>
      </c>
      <c r="J12" s="694">
        <v>242.7</v>
      </c>
      <c r="K12" s="245">
        <v>254.7</v>
      </c>
      <c r="L12" s="245">
        <v>288.10000000000002</v>
      </c>
      <c r="M12" s="245">
        <v>295.3</v>
      </c>
      <c r="N12" s="245">
        <v>250.9</v>
      </c>
      <c r="O12" s="245">
        <v>474.6</v>
      </c>
      <c r="P12" s="1098">
        <v>569.4</v>
      </c>
      <c r="Q12" s="1074">
        <f t="shared" si="0"/>
        <v>482.10666666666663</v>
      </c>
      <c r="R12" s="1073">
        <f t="shared" si="1"/>
        <v>893</v>
      </c>
      <c r="S12" s="1073">
        <f t="shared" si="2"/>
        <v>258.55</v>
      </c>
    </row>
    <row r="13" spans="1:19">
      <c r="A13" s="118" t="s">
        <v>237</v>
      </c>
      <c r="B13" s="1097">
        <v>754</v>
      </c>
      <c r="C13" s="1097">
        <v>772</v>
      </c>
      <c r="D13" s="1097">
        <v>868</v>
      </c>
      <c r="E13" s="1097">
        <v>889</v>
      </c>
      <c r="F13" s="1097">
        <v>720</v>
      </c>
      <c r="G13" s="245">
        <v>435.4</v>
      </c>
      <c r="H13" s="245">
        <v>238.7</v>
      </c>
      <c r="I13" s="245">
        <v>229.7</v>
      </c>
      <c r="J13" s="694">
        <v>242.1</v>
      </c>
      <c r="K13" s="245">
        <v>254.8</v>
      </c>
      <c r="L13" s="245">
        <v>288.10000000000002</v>
      </c>
      <c r="M13" s="245">
        <v>295.3</v>
      </c>
      <c r="N13" s="245">
        <v>251</v>
      </c>
      <c r="O13" s="245">
        <v>474.9</v>
      </c>
      <c r="P13" s="1098">
        <v>569</v>
      </c>
      <c r="Q13" s="1074">
        <f t="shared" si="0"/>
        <v>485.46666666666664</v>
      </c>
      <c r="R13" s="1073">
        <f t="shared" si="1"/>
        <v>889</v>
      </c>
      <c r="S13" s="1073">
        <f t="shared" si="2"/>
        <v>258.11666666666667</v>
      </c>
    </row>
    <row r="14" spans="1:19">
      <c r="A14" s="118" t="s">
        <v>141</v>
      </c>
      <c r="B14" s="1097">
        <v>756</v>
      </c>
      <c r="C14" s="1097">
        <v>823</v>
      </c>
      <c r="D14" s="1097">
        <v>868</v>
      </c>
      <c r="E14" s="1097">
        <v>903</v>
      </c>
      <c r="F14" s="1097">
        <v>720</v>
      </c>
      <c r="G14" s="245">
        <v>434.9</v>
      </c>
      <c r="H14" s="245">
        <v>239.7</v>
      </c>
      <c r="I14" s="245">
        <v>229.5</v>
      </c>
      <c r="J14" s="694">
        <v>242.1</v>
      </c>
      <c r="K14" s="245">
        <v>254.5</v>
      </c>
      <c r="L14" s="245">
        <v>288.10000000000002</v>
      </c>
      <c r="M14" s="245">
        <v>295.39999999999998</v>
      </c>
      <c r="N14" s="245">
        <v>351.2</v>
      </c>
      <c r="O14" s="245">
        <v>475</v>
      </c>
      <c r="P14" s="1098">
        <v>570</v>
      </c>
      <c r="Q14" s="1074">
        <f t="shared" si="0"/>
        <v>496.69333333333333</v>
      </c>
      <c r="R14" s="1073">
        <f t="shared" si="1"/>
        <v>903</v>
      </c>
      <c r="S14" s="1073">
        <f t="shared" si="2"/>
        <v>258.2166666666667</v>
      </c>
    </row>
    <row r="15" spans="1:19">
      <c r="A15" s="118" t="s">
        <v>238</v>
      </c>
      <c r="B15" s="1097"/>
      <c r="C15" s="1097">
        <v>844</v>
      </c>
      <c r="D15" s="1097">
        <v>870</v>
      </c>
      <c r="E15" s="1097">
        <v>911</v>
      </c>
      <c r="F15" s="1097">
        <v>720</v>
      </c>
      <c r="G15" s="245">
        <v>433.1</v>
      </c>
      <c r="H15" s="245">
        <v>239.1</v>
      </c>
      <c r="I15" s="245">
        <v>229.1</v>
      </c>
      <c r="J15" s="694">
        <v>242.1</v>
      </c>
      <c r="K15" s="245">
        <v>254.8</v>
      </c>
      <c r="L15" s="245">
        <v>288.10000000000002</v>
      </c>
      <c r="M15" s="245">
        <v>295.5</v>
      </c>
      <c r="N15" s="245">
        <v>351.6</v>
      </c>
      <c r="O15" s="245">
        <v>475</v>
      </c>
      <c r="P15" s="1098">
        <v>570</v>
      </c>
      <c r="Q15" s="1074">
        <f t="shared" si="0"/>
        <v>480.24285714285725</v>
      </c>
      <c r="R15" s="1073">
        <f t="shared" si="1"/>
        <v>911</v>
      </c>
      <c r="S15" s="1073">
        <f t="shared" si="2"/>
        <v>258.11666666666662</v>
      </c>
    </row>
    <row r="16" spans="1:19">
      <c r="A16" s="118" t="s">
        <v>142</v>
      </c>
      <c r="B16" s="1097"/>
      <c r="C16" s="1097">
        <v>863</v>
      </c>
      <c r="D16" s="1097">
        <v>870</v>
      </c>
      <c r="E16" s="1097">
        <v>914</v>
      </c>
      <c r="F16" s="1097">
        <v>720</v>
      </c>
      <c r="G16" s="245">
        <v>433.5</v>
      </c>
      <c r="H16" s="245">
        <v>236.3</v>
      </c>
      <c r="I16" s="245">
        <v>228.1</v>
      </c>
      <c r="J16" s="694">
        <v>242.1</v>
      </c>
      <c r="K16" s="245">
        <v>254.6</v>
      </c>
      <c r="L16" s="245">
        <v>287.89999999999998</v>
      </c>
      <c r="M16" s="245">
        <v>295.5</v>
      </c>
      <c r="N16" s="245">
        <v>251.8</v>
      </c>
      <c r="O16" s="245">
        <v>475</v>
      </c>
      <c r="P16" s="1098">
        <v>573</v>
      </c>
      <c r="Q16" s="1074">
        <f t="shared" si="0"/>
        <v>474.62857142857149</v>
      </c>
      <c r="R16" s="1073">
        <f t="shared" si="1"/>
        <v>914</v>
      </c>
      <c r="S16" s="1073">
        <f t="shared" si="2"/>
        <v>257.41666666666669</v>
      </c>
    </row>
    <row r="17" spans="1:19">
      <c r="A17" s="118" t="s">
        <v>143</v>
      </c>
      <c r="B17" s="1097"/>
      <c r="C17" s="1097">
        <v>897</v>
      </c>
      <c r="D17" s="1097">
        <v>980</v>
      </c>
      <c r="E17" s="1097">
        <v>922</v>
      </c>
      <c r="F17" s="1097">
        <v>718</v>
      </c>
      <c r="G17" s="245">
        <v>431.6</v>
      </c>
      <c r="H17" s="245">
        <v>237.5</v>
      </c>
      <c r="I17" s="245">
        <v>225</v>
      </c>
      <c r="J17" s="694">
        <v>242.9</v>
      </c>
      <c r="K17" s="245">
        <v>255</v>
      </c>
      <c r="L17" s="245">
        <v>287.8</v>
      </c>
      <c r="M17" s="245">
        <v>295.5</v>
      </c>
      <c r="N17" s="245">
        <v>353.1</v>
      </c>
      <c r="O17" s="245">
        <v>475.3</v>
      </c>
      <c r="P17" s="1098">
        <v>574</v>
      </c>
      <c r="Q17" s="1074">
        <f t="shared" si="0"/>
        <v>492.47857142857146</v>
      </c>
      <c r="R17" s="1073">
        <f t="shared" si="1"/>
        <v>980</v>
      </c>
      <c r="S17" s="1073">
        <f t="shared" si="2"/>
        <v>257.28333333333336</v>
      </c>
    </row>
    <row r="18" spans="1:19">
      <c r="A18" s="118" t="s">
        <v>144</v>
      </c>
      <c r="B18" s="1097"/>
      <c r="C18" s="1097">
        <v>927</v>
      </c>
      <c r="D18" s="1097">
        <v>1031</v>
      </c>
      <c r="E18" s="1097">
        <v>938</v>
      </c>
      <c r="F18" s="1097">
        <v>720</v>
      </c>
      <c r="G18" s="245">
        <v>389.8</v>
      </c>
      <c r="H18" s="245">
        <v>235</v>
      </c>
      <c r="I18" s="245">
        <v>218.8</v>
      </c>
      <c r="J18" s="694">
        <v>242.7</v>
      </c>
      <c r="K18" s="245">
        <v>246.9</v>
      </c>
      <c r="L18" s="245">
        <v>287.8</v>
      </c>
      <c r="M18" s="245">
        <v>295.5</v>
      </c>
      <c r="N18" s="245">
        <v>355.7</v>
      </c>
      <c r="O18" s="245">
        <v>475.6</v>
      </c>
      <c r="P18" s="1098">
        <v>583</v>
      </c>
      <c r="Q18" s="1074">
        <f t="shared" si="0"/>
        <v>496.2</v>
      </c>
      <c r="R18" s="1073">
        <f t="shared" si="1"/>
        <v>1031</v>
      </c>
      <c r="S18" s="1073">
        <f t="shared" si="2"/>
        <v>254.45000000000002</v>
      </c>
    </row>
    <row r="19" spans="1:19">
      <c r="A19" s="118" t="s">
        <v>145</v>
      </c>
      <c r="B19" s="1097"/>
      <c r="C19" s="1100"/>
      <c r="D19" s="1097">
        <v>1035</v>
      </c>
      <c r="E19" s="1097">
        <v>945</v>
      </c>
      <c r="F19" s="1097">
        <v>714</v>
      </c>
      <c r="G19" s="245">
        <v>377.3</v>
      </c>
      <c r="H19" s="245">
        <v>245.1</v>
      </c>
      <c r="I19" s="245">
        <v>215.7</v>
      </c>
      <c r="J19" s="694">
        <v>237.5</v>
      </c>
      <c r="K19" s="245">
        <v>243.7</v>
      </c>
      <c r="L19" s="245">
        <v>288.7</v>
      </c>
      <c r="M19" s="245">
        <v>295.8</v>
      </c>
      <c r="N19" s="245">
        <v>355.7</v>
      </c>
      <c r="O19" s="245">
        <v>476.3</v>
      </c>
      <c r="P19" s="1098"/>
      <c r="Q19" s="1074">
        <f t="shared" si="0"/>
        <v>452.48333333333335</v>
      </c>
      <c r="R19" s="1073">
        <f t="shared" si="1"/>
        <v>1035</v>
      </c>
      <c r="S19" s="1073">
        <f t="shared" si="2"/>
        <v>254.41666666666666</v>
      </c>
    </row>
    <row r="20" spans="1:19">
      <c r="A20" s="118" t="s">
        <v>146</v>
      </c>
      <c r="B20" s="1097"/>
      <c r="C20" s="1097"/>
      <c r="D20" s="1097">
        <v>1053</v>
      </c>
      <c r="E20" s="1097">
        <v>984</v>
      </c>
      <c r="F20" s="1097">
        <v>732</v>
      </c>
      <c r="G20" s="245">
        <v>406.1</v>
      </c>
      <c r="H20" s="245">
        <v>256.7</v>
      </c>
      <c r="I20" s="245">
        <v>213.7</v>
      </c>
      <c r="J20" s="694">
        <v>229.6</v>
      </c>
      <c r="K20" s="245">
        <v>242.7</v>
      </c>
      <c r="L20" s="245">
        <v>288.10000000000002</v>
      </c>
      <c r="M20" s="245">
        <v>294.60000000000002</v>
      </c>
      <c r="N20" s="245">
        <v>352.6</v>
      </c>
      <c r="O20" s="245">
        <v>476.2</v>
      </c>
      <c r="P20" s="1098"/>
      <c r="Q20" s="1074">
        <f t="shared" si="0"/>
        <v>460.77500000000003</v>
      </c>
      <c r="R20" s="1073">
        <f t="shared" si="1"/>
        <v>1053</v>
      </c>
      <c r="S20" s="1073">
        <f t="shared" si="2"/>
        <v>254.23333333333335</v>
      </c>
    </row>
    <row r="21" spans="1:19">
      <c r="A21" s="118" t="s">
        <v>147</v>
      </c>
      <c r="B21" s="1097"/>
      <c r="C21" s="1097"/>
      <c r="D21" s="1097">
        <v>1151</v>
      </c>
      <c r="E21" s="1097">
        <v>1003</v>
      </c>
      <c r="F21" s="1097">
        <v>735</v>
      </c>
      <c r="G21" s="245">
        <v>479.6</v>
      </c>
      <c r="H21" s="245">
        <v>267.2</v>
      </c>
      <c r="I21" s="245">
        <v>237.4</v>
      </c>
      <c r="J21" s="694">
        <v>230</v>
      </c>
      <c r="K21" s="245">
        <v>243.9</v>
      </c>
      <c r="L21" s="245">
        <v>282.2</v>
      </c>
      <c r="M21" s="245">
        <v>293.89999999999998</v>
      </c>
      <c r="N21" s="245">
        <v>341.1</v>
      </c>
      <c r="O21" s="245">
        <v>470.9</v>
      </c>
      <c r="P21" s="1098"/>
      <c r="Q21" s="1074">
        <f t="shared" si="0"/>
        <v>477.93333333333322</v>
      </c>
      <c r="R21" s="1073">
        <f t="shared" si="1"/>
        <v>1151</v>
      </c>
      <c r="S21" s="1073">
        <f t="shared" si="2"/>
        <v>259.09999999999997</v>
      </c>
    </row>
    <row r="22" spans="1:19">
      <c r="A22" s="118" t="s">
        <v>165</v>
      </c>
      <c r="B22" s="1097"/>
      <c r="C22" s="1097"/>
      <c r="D22" s="1097">
        <v>1194</v>
      </c>
      <c r="E22" s="1097"/>
      <c r="F22" s="1097">
        <v>742</v>
      </c>
      <c r="G22" s="245">
        <v>538.4</v>
      </c>
      <c r="H22" s="245">
        <v>279.39999999999998</v>
      </c>
      <c r="I22" s="245">
        <v>247.2</v>
      </c>
      <c r="J22" s="694">
        <v>234.7</v>
      </c>
      <c r="K22" s="245">
        <v>245.3</v>
      </c>
      <c r="L22" s="245">
        <v>276.8</v>
      </c>
      <c r="M22" s="245">
        <v>294.2</v>
      </c>
      <c r="N22" s="245"/>
      <c r="O22" s="245">
        <v>519.29999999999995</v>
      </c>
      <c r="P22" s="1098"/>
      <c r="Q22" s="1074">
        <f t="shared" si="0"/>
        <v>457.13</v>
      </c>
      <c r="R22" s="1073">
        <f t="shared" si="1"/>
        <v>1194</v>
      </c>
      <c r="S22" s="1073">
        <f t="shared" si="2"/>
        <v>262.93333333333334</v>
      </c>
    </row>
    <row r="23" spans="1:19">
      <c r="A23" s="118" t="s">
        <v>301</v>
      </c>
      <c r="B23" s="258">
        <f>AVERAGE(B9:B12)</f>
        <v>722</v>
      </c>
      <c r="C23" s="258">
        <f t="shared" ref="C23:P23" si="3">AVERAGE(C9:C12)</f>
        <v>716.5</v>
      </c>
      <c r="D23" s="258">
        <f t="shared" si="3"/>
        <v>863.75</v>
      </c>
      <c r="E23" s="258">
        <f t="shared" si="3"/>
        <v>887.5</v>
      </c>
      <c r="F23" s="258">
        <f t="shared" si="3"/>
        <v>720</v>
      </c>
      <c r="G23" s="258">
        <f t="shared" si="3"/>
        <v>431.375</v>
      </c>
      <c r="H23" s="258">
        <f t="shared" si="3"/>
        <v>239.12499999999997</v>
      </c>
      <c r="I23" s="258">
        <f t="shared" si="3"/>
        <v>236.32500000000002</v>
      </c>
      <c r="J23" s="258">
        <f t="shared" si="3"/>
        <v>242.60000000000002</v>
      </c>
      <c r="K23" s="258">
        <f t="shared" si="3"/>
        <v>255.7</v>
      </c>
      <c r="L23" s="258">
        <f t="shared" si="3"/>
        <v>287.85000000000002</v>
      </c>
      <c r="M23" s="258">
        <f t="shared" si="3"/>
        <v>295.27499999999998</v>
      </c>
      <c r="N23" s="258">
        <f t="shared" si="3"/>
        <v>325.77500000000003</v>
      </c>
      <c r="O23" s="258">
        <f t="shared" si="3"/>
        <v>474.77499999999998</v>
      </c>
      <c r="P23" s="258">
        <f t="shared" si="3"/>
        <v>568.75</v>
      </c>
      <c r="Q23" s="1096">
        <f>AVERAGE(Q9:Q12)</f>
        <v>484.48666666666668</v>
      </c>
      <c r="R23" s="1096">
        <f>AVERAGE(R9:R12)</f>
        <v>887.5</v>
      </c>
      <c r="S23" s="1096">
        <f>AVERAGE(S9:S12)</f>
        <v>259.47916666666669</v>
      </c>
    </row>
    <row r="24" spans="1:19">
      <c r="A24" s="118" t="s">
        <v>305</v>
      </c>
      <c r="B24" s="258">
        <f>AVERAGE(B9:B22)</f>
        <v>733</v>
      </c>
      <c r="C24" s="258">
        <f t="shared" ref="C24:P24" si="4">AVERAGE(C9:C22)</f>
        <v>799.2</v>
      </c>
      <c r="D24" s="258">
        <f t="shared" si="4"/>
        <v>955.35714285714289</v>
      </c>
      <c r="E24" s="258">
        <f t="shared" si="4"/>
        <v>919.92307692307691</v>
      </c>
      <c r="F24" s="258">
        <f t="shared" si="4"/>
        <v>722.92857142857144</v>
      </c>
      <c r="G24" s="258">
        <f t="shared" si="4"/>
        <v>434.6571428571429</v>
      </c>
      <c r="H24" s="258">
        <f t="shared" si="4"/>
        <v>245.08571428571423</v>
      </c>
      <c r="I24" s="258">
        <f t="shared" si="4"/>
        <v>229.96428571428569</v>
      </c>
      <c r="J24" s="258">
        <f t="shared" si="4"/>
        <v>239.72857142857137</v>
      </c>
      <c r="K24" s="258">
        <f t="shared" si="4"/>
        <v>251.35714285714286</v>
      </c>
      <c r="L24" s="258">
        <f t="shared" si="4"/>
        <v>286.78571428571428</v>
      </c>
      <c r="M24" s="258">
        <f t="shared" si="4"/>
        <v>295.16428571428571</v>
      </c>
      <c r="N24" s="258">
        <f t="shared" si="4"/>
        <v>328.22307692307692</v>
      </c>
      <c r="O24" s="258">
        <f t="shared" si="4"/>
        <v>478.04285714285714</v>
      </c>
      <c r="P24" s="258">
        <f t="shared" si="4"/>
        <v>571.4</v>
      </c>
      <c r="Q24" s="1096">
        <f>AVERAGE(Q9:Q22)</f>
        <v>479.4270238095238</v>
      </c>
      <c r="R24" s="1096">
        <f>AVERAGE(R9:R22)</f>
        <v>972.21428571428567</v>
      </c>
      <c r="S24" s="1096">
        <f>AVERAGE(S9:S22)</f>
        <v>258.01428571428568</v>
      </c>
    </row>
    <row r="25" spans="1:19" ht="15.5">
      <c r="A25" s="2304" t="s">
        <v>292</v>
      </c>
      <c r="B25" s="2305"/>
      <c r="C25" s="2305"/>
      <c r="D25" s="2305"/>
      <c r="E25" s="2305"/>
      <c r="F25" s="2305"/>
      <c r="G25" s="2305"/>
      <c r="H25" s="2305"/>
      <c r="I25" s="2305"/>
      <c r="J25" s="2305"/>
      <c r="K25" s="2305"/>
      <c r="L25" s="2305"/>
      <c r="M25" s="2305"/>
      <c r="N25" s="2305"/>
      <c r="O25" s="2305"/>
      <c r="P25" s="2305"/>
      <c r="Q25" s="2305"/>
      <c r="R25" s="2305"/>
      <c r="S25" s="2306"/>
    </row>
    <row r="26" spans="1:19">
      <c r="A26" s="118" t="s">
        <v>235</v>
      </c>
      <c r="B26" s="1097"/>
      <c r="C26" s="1097">
        <v>707</v>
      </c>
      <c r="D26" s="1097">
        <v>862</v>
      </c>
      <c r="E26" s="245">
        <v>885</v>
      </c>
      <c r="F26" s="245">
        <v>723</v>
      </c>
      <c r="G26" s="245">
        <v>432</v>
      </c>
      <c r="H26" s="245">
        <v>238.3</v>
      </c>
      <c r="I26" s="245">
        <v>231.8</v>
      </c>
      <c r="J26" s="245">
        <v>243.5</v>
      </c>
      <c r="K26" s="245">
        <v>256.60000000000002</v>
      </c>
      <c r="L26" s="245">
        <v>286.60000000000002</v>
      </c>
      <c r="M26" s="245">
        <v>295.3</v>
      </c>
      <c r="N26" s="245">
        <v>349.9</v>
      </c>
      <c r="O26" s="245">
        <v>474.4</v>
      </c>
      <c r="P26" s="1098"/>
      <c r="Q26" s="1074">
        <f t="shared" ref="Q26:Q36" si="5">AVERAGE(B26:P26)</f>
        <v>460.41538461538465</v>
      </c>
      <c r="R26" s="1073">
        <f t="shared" ref="R26:R36" si="6">MAX(B26:P26)</f>
        <v>885</v>
      </c>
      <c r="S26" s="1073">
        <f t="shared" ref="S26:S37" si="7">AVERAGE(H26:M26)</f>
        <v>258.68333333333334</v>
      </c>
    </row>
    <row r="27" spans="1:19">
      <c r="A27" s="118" t="s">
        <v>139</v>
      </c>
      <c r="B27" s="1097"/>
      <c r="C27" s="1097">
        <v>707</v>
      </c>
      <c r="D27" s="1097">
        <v>856</v>
      </c>
      <c r="E27" s="245">
        <v>889</v>
      </c>
      <c r="F27" s="245">
        <v>716</v>
      </c>
      <c r="G27" s="245">
        <v>432.3</v>
      </c>
      <c r="H27" s="245">
        <v>237.6</v>
      </c>
      <c r="I27" s="245">
        <v>230.6</v>
      </c>
      <c r="J27" s="245">
        <v>243.3</v>
      </c>
      <c r="K27" s="245">
        <v>255.5</v>
      </c>
      <c r="L27" s="245">
        <v>287.2</v>
      </c>
      <c r="M27" s="245">
        <v>294</v>
      </c>
      <c r="N27" s="245">
        <v>350.3</v>
      </c>
      <c r="O27" s="245">
        <v>474.7</v>
      </c>
      <c r="P27" s="1098"/>
      <c r="Q27" s="1074">
        <f t="shared" si="5"/>
        <v>459.5</v>
      </c>
      <c r="R27" s="1073">
        <f t="shared" si="6"/>
        <v>889</v>
      </c>
      <c r="S27" s="1073">
        <f t="shared" si="7"/>
        <v>258.03333333333336</v>
      </c>
    </row>
    <row r="28" spans="1:19">
      <c r="A28" s="118" t="s">
        <v>236</v>
      </c>
      <c r="B28" s="1097"/>
      <c r="C28" s="1097">
        <v>719</v>
      </c>
      <c r="D28" s="1097">
        <v>860</v>
      </c>
      <c r="E28" s="245">
        <v>890</v>
      </c>
      <c r="F28" s="245">
        <v>719</v>
      </c>
      <c r="G28" s="245">
        <v>431.9</v>
      </c>
      <c r="H28" s="245">
        <v>239</v>
      </c>
      <c r="I28" s="245">
        <v>229</v>
      </c>
      <c r="J28" s="245">
        <v>243.5</v>
      </c>
      <c r="K28" s="245">
        <v>255.5</v>
      </c>
      <c r="L28" s="245">
        <v>286.8</v>
      </c>
      <c r="M28" s="245">
        <v>295.10000000000002</v>
      </c>
      <c r="N28" s="245">
        <v>350.2</v>
      </c>
      <c r="O28" s="245">
        <v>474.6</v>
      </c>
      <c r="P28" s="1098"/>
      <c r="Q28" s="1074">
        <f t="shared" si="5"/>
        <v>461.04615384615386</v>
      </c>
      <c r="R28" s="1073">
        <f t="shared" si="6"/>
        <v>890</v>
      </c>
      <c r="S28" s="1073">
        <f t="shared" si="7"/>
        <v>258.15000000000003</v>
      </c>
    </row>
    <row r="29" spans="1:19">
      <c r="A29" s="118" t="s">
        <v>140</v>
      </c>
      <c r="B29" s="1097"/>
      <c r="C29" s="1097">
        <v>737</v>
      </c>
      <c r="D29" s="1097">
        <v>859</v>
      </c>
      <c r="E29" s="245">
        <v>919</v>
      </c>
      <c r="F29" s="245">
        <v>721</v>
      </c>
      <c r="G29" s="245">
        <v>430.5</v>
      </c>
      <c r="H29" s="245">
        <v>239.7</v>
      </c>
      <c r="I29" s="245">
        <v>229.3</v>
      </c>
      <c r="J29" s="245">
        <v>243.3</v>
      </c>
      <c r="K29" s="245">
        <v>255.4</v>
      </c>
      <c r="L29" s="245">
        <v>286.39999999999998</v>
      </c>
      <c r="M29" s="245">
        <v>295</v>
      </c>
      <c r="N29" s="245">
        <v>351</v>
      </c>
      <c r="O29" s="245">
        <v>474.5</v>
      </c>
      <c r="P29" s="1098"/>
      <c r="Q29" s="1074">
        <f t="shared" si="5"/>
        <v>464.69999999999993</v>
      </c>
      <c r="R29" s="1073">
        <f t="shared" si="6"/>
        <v>919</v>
      </c>
      <c r="S29" s="1073">
        <f t="shared" si="7"/>
        <v>258.18333333333334</v>
      </c>
    </row>
    <row r="30" spans="1:19">
      <c r="A30" s="118" t="s">
        <v>237</v>
      </c>
      <c r="B30" s="1097"/>
      <c r="C30" s="1097">
        <v>805</v>
      </c>
      <c r="D30" s="1097">
        <v>858</v>
      </c>
      <c r="E30" s="245">
        <v>920</v>
      </c>
      <c r="F30" s="1099">
        <v>720</v>
      </c>
      <c r="G30" s="245">
        <v>429.2</v>
      </c>
      <c r="H30" s="245">
        <v>239.6</v>
      </c>
      <c r="I30" s="245">
        <v>229.2</v>
      </c>
      <c r="J30" s="245">
        <v>243</v>
      </c>
      <c r="K30" s="245">
        <v>255</v>
      </c>
      <c r="L30" s="245">
        <v>287.3</v>
      </c>
      <c r="M30" s="245">
        <v>295.10000000000002</v>
      </c>
      <c r="N30" s="245">
        <v>351.7</v>
      </c>
      <c r="O30" s="245">
        <v>474.4</v>
      </c>
      <c r="P30" s="1098"/>
      <c r="Q30" s="1074">
        <f t="shared" si="5"/>
        <v>469.80769230769232</v>
      </c>
      <c r="R30" s="1073">
        <f t="shared" si="6"/>
        <v>920</v>
      </c>
      <c r="S30" s="1073">
        <f t="shared" si="7"/>
        <v>258.2</v>
      </c>
    </row>
    <row r="31" spans="1:19">
      <c r="A31" s="118" t="s">
        <v>141</v>
      </c>
      <c r="B31" s="1097"/>
      <c r="C31" s="1097">
        <v>832</v>
      </c>
      <c r="D31" s="1097">
        <v>858</v>
      </c>
      <c r="E31" s="1099">
        <v>924</v>
      </c>
      <c r="F31" s="245">
        <v>719</v>
      </c>
      <c r="G31" s="245">
        <v>428.3</v>
      </c>
      <c r="H31" s="245">
        <v>238.4</v>
      </c>
      <c r="I31" s="245">
        <v>229.3</v>
      </c>
      <c r="J31" s="245">
        <v>242.1</v>
      </c>
      <c r="K31" s="245">
        <v>255</v>
      </c>
      <c r="L31" s="245">
        <v>287.60000000000002</v>
      </c>
      <c r="M31" s="245">
        <v>295.10000000000002</v>
      </c>
      <c r="N31" s="245">
        <v>352.4</v>
      </c>
      <c r="O31" s="245">
        <v>474.7</v>
      </c>
      <c r="P31" s="1098"/>
      <c r="Q31" s="1074">
        <f t="shared" si="5"/>
        <v>471.99230769230775</v>
      </c>
      <c r="R31" s="1073">
        <f t="shared" si="6"/>
        <v>924</v>
      </c>
      <c r="S31" s="1073">
        <f t="shared" si="7"/>
        <v>257.91666666666669</v>
      </c>
    </row>
    <row r="32" spans="1:19">
      <c r="A32" s="118" t="s">
        <v>238</v>
      </c>
      <c r="B32" s="1097"/>
      <c r="C32" s="1097">
        <v>847</v>
      </c>
      <c r="D32" s="1097">
        <v>858</v>
      </c>
      <c r="E32" s="245">
        <v>932</v>
      </c>
      <c r="F32" s="245">
        <v>720</v>
      </c>
      <c r="G32" s="245">
        <v>427.5</v>
      </c>
      <c r="H32" s="245">
        <v>233.8</v>
      </c>
      <c r="I32" s="245">
        <v>228</v>
      </c>
      <c r="J32" s="245">
        <v>240</v>
      </c>
      <c r="K32" s="245">
        <v>255</v>
      </c>
      <c r="L32" s="245">
        <v>287.5</v>
      </c>
      <c r="M32" s="245">
        <v>295.10000000000002</v>
      </c>
      <c r="N32" s="245">
        <v>353.9</v>
      </c>
      <c r="O32" s="245">
        <v>474.6</v>
      </c>
      <c r="P32" s="1098"/>
      <c r="Q32" s="1074">
        <f t="shared" si="5"/>
        <v>473.26153846153852</v>
      </c>
      <c r="R32" s="1073">
        <f t="shared" si="6"/>
        <v>932</v>
      </c>
      <c r="S32" s="1073">
        <f t="shared" si="7"/>
        <v>256.56666666666666</v>
      </c>
    </row>
    <row r="33" spans="1:19">
      <c r="A33" s="118" t="s">
        <v>142</v>
      </c>
      <c r="B33" s="1097"/>
      <c r="C33" s="1097">
        <v>861</v>
      </c>
      <c r="D33" s="1097">
        <v>867</v>
      </c>
      <c r="E33" s="245">
        <v>933</v>
      </c>
      <c r="F33" s="245">
        <v>720</v>
      </c>
      <c r="G33" s="245">
        <v>427.4</v>
      </c>
      <c r="H33" s="245">
        <v>241.7</v>
      </c>
      <c r="I33" s="245">
        <v>228.2</v>
      </c>
      <c r="J33" s="245">
        <v>241.8</v>
      </c>
      <c r="K33" s="245">
        <v>255</v>
      </c>
      <c r="L33" s="245">
        <v>287</v>
      </c>
      <c r="M33" s="245">
        <v>295.10000000000002</v>
      </c>
      <c r="N33" s="245">
        <v>352.5</v>
      </c>
      <c r="O33" s="245">
        <v>474.6</v>
      </c>
      <c r="P33" s="1098"/>
      <c r="Q33" s="1074">
        <f t="shared" si="5"/>
        <v>475.71538461538472</v>
      </c>
      <c r="R33" s="1073">
        <f t="shared" si="6"/>
        <v>933</v>
      </c>
      <c r="S33" s="1073">
        <f t="shared" si="7"/>
        <v>258.13333333333338</v>
      </c>
    </row>
    <row r="34" spans="1:19">
      <c r="A34" s="118" t="s">
        <v>143</v>
      </c>
      <c r="B34" s="1097"/>
      <c r="C34" s="1097">
        <v>891</v>
      </c>
      <c r="D34" s="1097"/>
      <c r="E34" s="245">
        <v>946</v>
      </c>
      <c r="F34" s="245">
        <v>721</v>
      </c>
      <c r="G34" s="245">
        <v>427.7</v>
      </c>
      <c r="H34" s="245">
        <v>239.2</v>
      </c>
      <c r="I34" s="245">
        <v>225.2</v>
      </c>
      <c r="J34" s="245">
        <v>241.6</v>
      </c>
      <c r="K34" s="245">
        <v>255.1</v>
      </c>
      <c r="L34" s="245">
        <v>287.39999999999998</v>
      </c>
      <c r="M34" s="245">
        <v>295.39999999999998</v>
      </c>
      <c r="N34" s="245">
        <v>352.5</v>
      </c>
      <c r="O34" s="245">
        <v>474.9</v>
      </c>
      <c r="P34" s="1098"/>
      <c r="Q34" s="1074">
        <f t="shared" si="5"/>
        <v>446.41666666666652</v>
      </c>
      <c r="R34" s="1073">
        <f t="shared" si="6"/>
        <v>946</v>
      </c>
      <c r="S34" s="1073">
        <f t="shared" si="7"/>
        <v>257.31666666666666</v>
      </c>
    </row>
    <row r="35" spans="1:19">
      <c r="A35" s="118" t="s">
        <v>144</v>
      </c>
      <c r="B35" s="1097"/>
      <c r="C35" s="1097">
        <v>897</v>
      </c>
      <c r="D35" s="1097"/>
      <c r="E35" s="245">
        <v>961</v>
      </c>
      <c r="F35" s="245">
        <v>722</v>
      </c>
      <c r="G35" s="245">
        <v>430.2</v>
      </c>
      <c r="H35" s="245">
        <v>243.8</v>
      </c>
      <c r="I35" s="245">
        <v>229.2</v>
      </c>
      <c r="J35" s="245">
        <v>242.5</v>
      </c>
      <c r="K35" s="245">
        <v>255.9</v>
      </c>
      <c r="L35" s="245">
        <v>287.39999999999998</v>
      </c>
      <c r="M35" s="245">
        <v>295.3</v>
      </c>
      <c r="N35" s="245">
        <v>354.3</v>
      </c>
      <c r="O35" s="245">
        <v>475</v>
      </c>
      <c r="P35" s="1098"/>
      <c r="Q35" s="1074">
        <f t="shared" si="5"/>
        <v>449.4666666666667</v>
      </c>
      <c r="R35" s="1073">
        <f t="shared" si="6"/>
        <v>961</v>
      </c>
      <c r="S35" s="1073">
        <f t="shared" si="7"/>
        <v>259.01666666666665</v>
      </c>
    </row>
    <row r="36" spans="1:19">
      <c r="A36" s="118" t="s">
        <v>145</v>
      </c>
      <c r="B36" s="1097"/>
      <c r="C36" s="1097"/>
      <c r="D36" s="1097"/>
      <c r="E36" s="245"/>
      <c r="F36" s="245"/>
      <c r="G36" s="245">
        <v>459.7</v>
      </c>
      <c r="H36" s="245">
        <v>247.7</v>
      </c>
      <c r="I36" s="245"/>
      <c r="J36" s="245">
        <v>242.6</v>
      </c>
      <c r="K36" s="245">
        <v>255.2</v>
      </c>
      <c r="L36" s="245">
        <v>287.89999999999998</v>
      </c>
      <c r="M36" s="245">
        <v>297.39999999999998</v>
      </c>
      <c r="N36" s="245">
        <v>364.7</v>
      </c>
      <c r="O36" s="245">
        <v>478.8</v>
      </c>
      <c r="P36" s="1098"/>
      <c r="Q36" s="1074">
        <f t="shared" si="5"/>
        <v>329.25</v>
      </c>
      <c r="R36" s="1073">
        <f t="shared" si="6"/>
        <v>478.8</v>
      </c>
      <c r="S36" s="1073">
        <f t="shared" si="7"/>
        <v>266.16000000000003</v>
      </c>
    </row>
    <row r="37" spans="1:19">
      <c r="A37" s="118" t="s">
        <v>146</v>
      </c>
      <c r="B37" s="1097"/>
      <c r="C37" s="1097"/>
      <c r="D37" s="1097"/>
      <c r="E37" s="245"/>
      <c r="F37" s="245"/>
      <c r="G37" s="245">
        <v>461.8</v>
      </c>
      <c r="H37" s="245">
        <v>273.5</v>
      </c>
      <c r="I37" s="245"/>
      <c r="J37" s="245">
        <v>246.6</v>
      </c>
      <c r="K37" s="245">
        <v>256.5</v>
      </c>
      <c r="L37" s="245"/>
      <c r="M37" s="245">
        <v>363.7</v>
      </c>
      <c r="N37" s="245"/>
      <c r="O37" s="245"/>
      <c r="P37" s="1098"/>
      <c r="Q37" s="1074">
        <f>AVERAGE(B37:O37)</f>
        <v>320.42</v>
      </c>
      <c r="R37" s="1073">
        <f>MAX(B37:O37)</f>
        <v>461.8</v>
      </c>
      <c r="S37" s="1073">
        <f t="shared" si="7"/>
        <v>285.07499999999999</v>
      </c>
    </row>
    <row r="38" spans="1:19">
      <c r="A38" s="118" t="s">
        <v>301</v>
      </c>
      <c r="B38" s="258"/>
      <c r="C38" s="258">
        <f>AVERAGE(C26:C29)</f>
        <v>717.5</v>
      </c>
      <c r="D38" s="258">
        <f t="shared" ref="D38:O38" si="8">AVERAGE(D26:D29)</f>
        <v>859.25</v>
      </c>
      <c r="E38" s="258">
        <f t="shared" si="8"/>
        <v>895.75</v>
      </c>
      <c r="F38" s="258">
        <f t="shared" si="8"/>
        <v>719.75</v>
      </c>
      <c r="G38" s="258">
        <f t="shared" si="8"/>
        <v>431.67499999999995</v>
      </c>
      <c r="H38" s="258">
        <f t="shared" si="8"/>
        <v>238.64999999999998</v>
      </c>
      <c r="I38" s="258">
        <f t="shared" si="8"/>
        <v>230.17500000000001</v>
      </c>
      <c r="J38" s="258">
        <f t="shared" si="8"/>
        <v>243.39999999999998</v>
      </c>
      <c r="K38" s="258">
        <f t="shared" si="8"/>
        <v>255.75</v>
      </c>
      <c r="L38" s="258">
        <f t="shared" si="8"/>
        <v>286.75</v>
      </c>
      <c r="M38" s="258">
        <f t="shared" si="8"/>
        <v>294.85000000000002</v>
      </c>
      <c r="N38" s="258">
        <f t="shared" si="8"/>
        <v>350.35</v>
      </c>
      <c r="O38" s="258">
        <f t="shared" si="8"/>
        <v>474.54999999999995</v>
      </c>
      <c r="P38" s="258"/>
      <c r="Q38" s="1096">
        <f>AVERAGE(Q26:Q29)</f>
        <v>461.4153846153846</v>
      </c>
      <c r="R38" s="1096">
        <f>AVERAGE(R26:R29)</f>
        <v>895.75</v>
      </c>
      <c r="S38" s="1096">
        <f>AVERAGE(S26:S29)</f>
        <v>258.26250000000005</v>
      </c>
    </row>
    <row r="39" spans="1:19">
      <c r="A39" s="118" t="s">
        <v>302</v>
      </c>
      <c r="B39" s="258"/>
      <c r="C39" s="258">
        <f t="shared" ref="C39:O39" si="9">AVERAGE(C26:C37)</f>
        <v>800.3</v>
      </c>
      <c r="D39" s="258">
        <f t="shared" si="9"/>
        <v>859.75</v>
      </c>
      <c r="E39" s="258">
        <f t="shared" si="9"/>
        <v>919.9</v>
      </c>
      <c r="F39" s="258">
        <f t="shared" si="9"/>
        <v>720.1</v>
      </c>
      <c r="G39" s="258">
        <f t="shared" si="9"/>
        <v>434.875</v>
      </c>
      <c r="H39" s="258">
        <f t="shared" si="9"/>
        <v>242.69166666666663</v>
      </c>
      <c r="I39" s="258">
        <f t="shared" si="9"/>
        <v>228.97999999999996</v>
      </c>
      <c r="J39" s="258">
        <f t="shared" si="9"/>
        <v>242.81666666666663</v>
      </c>
      <c r="K39" s="258">
        <f t="shared" si="9"/>
        <v>255.47499999999999</v>
      </c>
      <c r="L39" s="258">
        <f t="shared" si="9"/>
        <v>287.19090909090914</v>
      </c>
      <c r="M39" s="258">
        <f t="shared" si="9"/>
        <v>300.96666666666664</v>
      </c>
      <c r="N39" s="258">
        <f t="shared" si="9"/>
        <v>353.03636363636366</v>
      </c>
      <c r="O39" s="258">
        <f t="shared" si="9"/>
        <v>475.0181818181818</v>
      </c>
      <c r="P39" s="258"/>
      <c r="Q39" s="1096">
        <f>AVERAGE(Q26:Q37)</f>
        <v>440.16598290598296</v>
      </c>
      <c r="R39" s="1096">
        <f>AVERAGE(R26:R37)</f>
        <v>844.96666666666658</v>
      </c>
      <c r="S39" s="1096">
        <f>AVERAGE(S26:S37)</f>
        <v>260.95291666666662</v>
      </c>
    </row>
    <row r="40" spans="1:19" ht="15.5">
      <c r="A40" s="2304" t="s">
        <v>293</v>
      </c>
      <c r="B40" s="2305"/>
      <c r="C40" s="2305"/>
      <c r="D40" s="2305"/>
      <c r="E40" s="2305"/>
      <c r="F40" s="2305"/>
      <c r="G40" s="2305"/>
      <c r="H40" s="2305"/>
      <c r="I40" s="2305"/>
      <c r="J40" s="2305"/>
      <c r="K40" s="2305"/>
      <c r="L40" s="2305"/>
      <c r="M40" s="2305"/>
      <c r="N40" s="2305"/>
      <c r="O40" s="2305"/>
      <c r="P40" s="2305"/>
      <c r="Q40" s="2305"/>
      <c r="R40" s="2305"/>
      <c r="S40" s="2306"/>
    </row>
    <row r="41" spans="1:19">
      <c r="A41" s="118" t="s">
        <v>235</v>
      </c>
      <c r="B41" s="1097"/>
      <c r="C41" s="1097">
        <v>702</v>
      </c>
      <c r="D41" s="1097">
        <v>864</v>
      </c>
      <c r="E41" s="245">
        <v>887</v>
      </c>
      <c r="F41" s="245">
        <v>721</v>
      </c>
      <c r="G41" s="245">
        <v>436.7</v>
      </c>
      <c r="H41" s="245">
        <v>238.1</v>
      </c>
      <c r="I41" s="245">
        <v>225.4</v>
      </c>
      <c r="J41" s="245">
        <v>243.8</v>
      </c>
      <c r="K41" s="245">
        <v>256.7</v>
      </c>
      <c r="L41" s="245">
        <v>287.3</v>
      </c>
      <c r="M41" s="245">
        <v>295.5</v>
      </c>
      <c r="N41" s="245">
        <v>352.9</v>
      </c>
      <c r="O41" s="245">
        <v>473.4</v>
      </c>
      <c r="P41" s="1098"/>
      <c r="Q41" s="1074">
        <f t="shared" ref="Q41:Q49" si="10">AVERAGE(B41:P41)</f>
        <v>460.29230769230765</v>
      </c>
      <c r="R41" s="1073">
        <f t="shared" ref="R41:R49" si="11">MAX(B41:P41)</f>
        <v>887</v>
      </c>
      <c r="S41" s="1073">
        <f t="shared" ref="S41:S49" si="12">AVERAGE(H41:M41)</f>
        <v>257.8</v>
      </c>
    </row>
    <row r="42" spans="1:19">
      <c r="A42" s="118" t="s">
        <v>139</v>
      </c>
      <c r="B42" s="1097"/>
      <c r="C42" s="1097">
        <v>727</v>
      </c>
      <c r="D42" s="1097">
        <v>867</v>
      </c>
      <c r="E42" s="245">
        <v>887</v>
      </c>
      <c r="F42" s="245">
        <v>724</v>
      </c>
      <c r="G42" s="245">
        <v>433.7</v>
      </c>
      <c r="H42" s="245">
        <v>239.7</v>
      </c>
      <c r="I42" s="245">
        <v>226.1</v>
      </c>
      <c r="J42" s="245">
        <v>243.6</v>
      </c>
      <c r="K42" s="245">
        <v>256.60000000000002</v>
      </c>
      <c r="L42" s="245">
        <v>288.2</v>
      </c>
      <c r="M42" s="245">
        <v>290.3</v>
      </c>
      <c r="N42" s="245">
        <v>351.3</v>
      </c>
      <c r="O42" s="245">
        <v>473.4</v>
      </c>
      <c r="P42" s="1098"/>
      <c r="Q42" s="1074">
        <f t="shared" si="10"/>
        <v>462.14615384615388</v>
      </c>
      <c r="R42" s="1073">
        <f t="shared" si="11"/>
        <v>887</v>
      </c>
      <c r="S42" s="1073">
        <f t="shared" si="12"/>
        <v>257.41666666666669</v>
      </c>
    </row>
    <row r="43" spans="1:19">
      <c r="A43" s="118" t="s">
        <v>236</v>
      </c>
      <c r="B43" s="1097"/>
      <c r="C43" s="1097">
        <v>732</v>
      </c>
      <c r="D43" s="1097">
        <v>866</v>
      </c>
      <c r="E43" s="245">
        <v>887</v>
      </c>
      <c r="F43" s="245">
        <v>725</v>
      </c>
      <c r="G43" s="245">
        <v>433.9</v>
      </c>
      <c r="H43" s="245">
        <v>239.6</v>
      </c>
      <c r="I43" s="245">
        <v>226.3</v>
      </c>
      <c r="J43" s="245">
        <v>242.8</v>
      </c>
      <c r="K43" s="245">
        <v>256.89999999999998</v>
      </c>
      <c r="L43" s="245">
        <v>287.2</v>
      </c>
      <c r="M43" s="245">
        <v>295.7</v>
      </c>
      <c r="N43" s="245">
        <v>351.7</v>
      </c>
      <c r="O43" s="245">
        <v>472.9</v>
      </c>
      <c r="P43" s="1098"/>
      <c r="Q43" s="1074">
        <f t="shared" si="10"/>
        <v>462.84615384615375</v>
      </c>
      <c r="R43" s="1073">
        <f t="shared" si="11"/>
        <v>887</v>
      </c>
      <c r="S43" s="1073">
        <f t="shared" si="12"/>
        <v>258.08333333333331</v>
      </c>
    </row>
    <row r="44" spans="1:19">
      <c r="A44" s="118" t="s">
        <v>140</v>
      </c>
      <c r="B44" s="1097"/>
      <c r="C44" s="1097">
        <v>734</v>
      </c>
      <c r="D44" s="1097">
        <v>967</v>
      </c>
      <c r="E44" s="245">
        <v>889</v>
      </c>
      <c r="F44" s="245">
        <v>722</v>
      </c>
      <c r="G44" s="245">
        <v>432</v>
      </c>
      <c r="H44" s="245">
        <v>238.8</v>
      </c>
      <c r="I44" s="245">
        <v>226.6</v>
      </c>
      <c r="J44" s="245">
        <v>242.7</v>
      </c>
      <c r="K44" s="245">
        <v>256.89999999999998</v>
      </c>
      <c r="L44" s="245">
        <v>287.3</v>
      </c>
      <c r="M44" s="245">
        <v>295.2</v>
      </c>
      <c r="N44" s="245">
        <v>352</v>
      </c>
      <c r="O44" s="245">
        <v>473</v>
      </c>
      <c r="P44" s="1098"/>
      <c r="Q44" s="1074">
        <f t="shared" si="10"/>
        <v>470.5</v>
      </c>
      <c r="R44" s="1073">
        <f t="shared" si="11"/>
        <v>967</v>
      </c>
      <c r="S44" s="1073">
        <f t="shared" si="12"/>
        <v>257.91666666666669</v>
      </c>
    </row>
    <row r="45" spans="1:19">
      <c r="A45" s="118" t="s">
        <v>237</v>
      </c>
      <c r="B45" s="1097"/>
      <c r="C45" s="1097">
        <v>776</v>
      </c>
      <c r="D45" s="1097">
        <v>867</v>
      </c>
      <c r="E45" s="245">
        <v>890</v>
      </c>
      <c r="F45" s="245">
        <v>722</v>
      </c>
      <c r="G45" s="245">
        <v>432</v>
      </c>
      <c r="H45" s="245">
        <v>242.3</v>
      </c>
      <c r="I45" s="245">
        <v>226.5</v>
      </c>
      <c r="J45" s="245">
        <v>242.4</v>
      </c>
      <c r="K45" s="245">
        <v>256.2</v>
      </c>
      <c r="L45" s="245">
        <v>287</v>
      </c>
      <c r="M45" s="245">
        <v>295.3</v>
      </c>
      <c r="N45" s="245">
        <v>351.3</v>
      </c>
      <c r="O45" s="245">
        <v>472.8</v>
      </c>
      <c r="P45" s="1098"/>
      <c r="Q45" s="1074">
        <f t="shared" si="10"/>
        <v>466.21538461538461</v>
      </c>
      <c r="R45" s="1073">
        <f t="shared" si="11"/>
        <v>890</v>
      </c>
      <c r="S45" s="1073">
        <f t="shared" si="12"/>
        <v>258.28333333333336</v>
      </c>
    </row>
    <row r="46" spans="1:19">
      <c r="A46" s="118" t="s">
        <v>141</v>
      </c>
      <c r="B46" s="1097"/>
      <c r="C46" s="1097">
        <v>825</v>
      </c>
      <c r="D46" s="1097">
        <v>866</v>
      </c>
      <c r="E46" s="245">
        <v>908</v>
      </c>
      <c r="F46" s="245">
        <v>723</v>
      </c>
      <c r="G46" s="245">
        <v>428.7</v>
      </c>
      <c r="H46" s="245">
        <v>238.2</v>
      </c>
      <c r="I46" s="245">
        <v>228.4</v>
      </c>
      <c r="J46" s="245">
        <v>241.9</v>
      </c>
      <c r="K46" s="245">
        <v>255.1</v>
      </c>
      <c r="L46" s="245">
        <v>286.8</v>
      </c>
      <c r="M46" s="245">
        <v>295.3</v>
      </c>
      <c r="N46" s="245">
        <v>351.1</v>
      </c>
      <c r="O46" s="245">
        <v>473</v>
      </c>
      <c r="P46" s="1098"/>
      <c r="Q46" s="1074">
        <f t="shared" si="10"/>
        <v>470.80769230769232</v>
      </c>
      <c r="R46" s="1073">
        <f t="shared" si="11"/>
        <v>908</v>
      </c>
      <c r="S46" s="1073">
        <f t="shared" si="12"/>
        <v>257.61666666666667</v>
      </c>
    </row>
    <row r="47" spans="1:19">
      <c r="A47" s="118" t="s">
        <v>238</v>
      </c>
      <c r="B47" s="1097"/>
      <c r="C47" s="1097">
        <v>851</v>
      </c>
      <c r="D47" s="1097">
        <v>867</v>
      </c>
      <c r="E47" s="245">
        <v>914</v>
      </c>
      <c r="F47" s="245">
        <v>722</v>
      </c>
      <c r="G47" s="245">
        <v>427.3</v>
      </c>
      <c r="H47" s="245">
        <v>238.2</v>
      </c>
      <c r="I47" s="245">
        <v>229.3</v>
      </c>
      <c r="J47" s="245">
        <v>241.7</v>
      </c>
      <c r="K47" s="245">
        <v>255.2</v>
      </c>
      <c r="L47" s="245">
        <v>287</v>
      </c>
      <c r="M47" s="245">
        <v>295.2</v>
      </c>
      <c r="N47" s="245">
        <v>349.7</v>
      </c>
      <c r="O47" s="245">
        <v>473</v>
      </c>
      <c r="P47" s="1098"/>
      <c r="Q47" s="1074">
        <f t="shared" si="10"/>
        <v>473.12307692307689</v>
      </c>
      <c r="R47" s="1073">
        <f t="shared" si="11"/>
        <v>914</v>
      </c>
      <c r="S47" s="1073">
        <f t="shared" si="12"/>
        <v>257.76666666666671</v>
      </c>
    </row>
    <row r="48" spans="1:19">
      <c r="A48" s="118" t="s">
        <v>142</v>
      </c>
      <c r="B48" s="1097"/>
      <c r="C48" s="1097">
        <v>859</v>
      </c>
      <c r="D48" s="1097">
        <v>867</v>
      </c>
      <c r="E48" s="245">
        <v>916</v>
      </c>
      <c r="F48" s="245">
        <v>721</v>
      </c>
      <c r="G48" s="245">
        <v>423</v>
      </c>
      <c r="H48" s="245">
        <v>239.3</v>
      </c>
      <c r="I48" s="245">
        <v>228.9</v>
      </c>
      <c r="J48" s="245">
        <v>242.6</v>
      </c>
      <c r="K48" s="245">
        <v>255.5</v>
      </c>
      <c r="L48" s="245">
        <v>287.2</v>
      </c>
      <c r="M48" s="245">
        <v>295.2</v>
      </c>
      <c r="N48" s="245">
        <v>350.3</v>
      </c>
      <c r="O48" s="245">
        <v>473.7</v>
      </c>
      <c r="P48" s="1098"/>
      <c r="Q48" s="1074">
        <f t="shared" si="10"/>
        <v>473.74615384615385</v>
      </c>
      <c r="R48" s="1073">
        <f t="shared" si="11"/>
        <v>916</v>
      </c>
      <c r="S48" s="1073">
        <f t="shared" si="12"/>
        <v>258.11666666666667</v>
      </c>
    </row>
    <row r="49" spans="1:19">
      <c r="A49" s="118" t="s">
        <v>143</v>
      </c>
      <c r="B49" s="1097"/>
      <c r="C49" s="1097">
        <v>900</v>
      </c>
      <c r="D49" s="1097"/>
      <c r="E49" s="245">
        <v>925</v>
      </c>
      <c r="F49" s="245">
        <v>720</v>
      </c>
      <c r="G49" s="245">
        <v>388.4</v>
      </c>
      <c r="H49" s="245">
        <v>240.1</v>
      </c>
      <c r="I49" s="245">
        <v>220.7</v>
      </c>
      <c r="J49" s="245">
        <v>242.1</v>
      </c>
      <c r="K49" s="245">
        <v>257.10000000000002</v>
      </c>
      <c r="L49" s="245">
        <v>287.39999999999998</v>
      </c>
      <c r="M49" s="245">
        <v>294.7</v>
      </c>
      <c r="N49" s="245"/>
      <c r="O49" s="245"/>
      <c r="P49" s="1098"/>
      <c r="Q49" s="1074">
        <f t="shared" si="10"/>
        <v>447.5499999999999</v>
      </c>
      <c r="R49" s="1073">
        <f t="shared" si="11"/>
        <v>925</v>
      </c>
      <c r="S49" s="1073">
        <f t="shared" si="12"/>
        <v>257.01666666666671</v>
      </c>
    </row>
    <row r="50" spans="1:19">
      <c r="A50" s="118" t="s">
        <v>301</v>
      </c>
      <c r="B50" s="258"/>
      <c r="C50" s="258">
        <f>AVERAGE(C41:C44)</f>
        <v>723.75</v>
      </c>
      <c r="D50" s="258">
        <f t="shared" ref="D50:O50" si="13">AVERAGE(D41:D44)</f>
        <v>891</v>
      </c>
      <c r="E50" s="258">
        <f t="shared" si="13"/>
        <v>887.5</v>
      </c>
      <c r="F50" s="258">
        <f t="shared" si="13"/>
        <v>723</v>
      </c>
      <c r="G50" s="258">
        <f t="shared" si="13"/>
        <v>434.07499999999999</v>
      </c>
      <c r="H50" s="258">
        <f t="shared" si="13"/>
        <v>239.05</v>
      </c>
      <c r="I50" s="258">
        <f t="shared" si="13"/>
        <v>226.1</v>
      </c>
      <c r="J50" s="258">
        <f t="shared" si="13"/>
        <v>243.22500000000002</v>
      </c>
      <c r="K50" s="258">
        <f t="shared" si="13"/>
        <v>256.77499999999998</v>
      </c>
      <c r="L50" s="258">
        <f t="shared" si="13"/>
        <v>287.5</v>
      </c>
      <c r="M50" s="258">
        <f t="shared" si="13"/>
        <v>294.17500000000001</v>
      </c>
      <c r="N50" s="258">
        <f t="shared" si="13"/>
        <v>351.97500000000002</v>
      </c>
      <c r="O50" s="258">
        <f t="shared" si="13"/>
        <v>473.17499999999995</v>
      </c>
      <c r="P50" s="258"/>
      <c r="Q50" s="1096">
        <f>AVERAGE(Q41:Q44)</f>
        <v>463.94615384615383</v>
      </c>
      <c r="R50" s="1096">
        <f>AVERAGE(R41:R44)</f>
        <v>907</v>
      </c>
      <c r="S50" s="1096">
        <f>AVERAGE(S41:S44)</f>
        <v>257.80416666666667</v>
      </c>
    </row>
    <row r="51" spans="1:19">
      <c r="A51" s="118" t="s">
        <v>302</v>
      </c>
      <c r="B51" s="258"/>
      <c r="C51" s="258">
        <f t="shared" ref="C51:O51" si="14">AVERAGE(C41:C49)</f>
        <v>789.55555555555554</v>
      </c>
      <c r="D51" s="258">
        <f t="shared" si="14"/>
        <v>878.875</v>
      </c>
      <c r="E51" s="258">
        <f t="shared" si="14"/>
        <v>900.33333333333337</v>
      </c>
      <c r="F51" s="258">
        <f t="shared" si="14"/>
        <v>722.22222222222217</v>
      </c>
      <c r="G51" s="258">
        <f t="shared" si="14"/>
        <v>426.18888888888893</v>
      </c>
      <c r="H51" s="258">
        <f t="shared" si="14"/>
        <v>239.36666666666667</v>
      </c>
      <c r="I51" s="258">
        <f t="shared" si="14"/>
        <v>226.4666666666667</v>
      </c>
      <c r="J51" s="258">
        <f t="shared" si="14"/>
        <v>242.62222222222226</v>
      </c>
      <c r="K51" s="258">
        <f t="shared" si="14"/>
        <v>256.24444444444441</v>
      </c>
      <c r="L51" s="258">
        <f t="shared" si="14"/>
        <v>287.26666666666665</v>
      </c>
      <c r="M51" s="258">
        <f t="shared" si="14"/>
        <v>294.71111111111105</v>
      </c>
      <c r="N51" s="258">
        <f t="shared" si="14"/>
        <v>351.28750000000002</v>
      </c>
      <c r="O51" s="258">
        <f t="shared" si="14"/>
        <v>473.15</v>
      </c>
      <c r="P51" s="258"/>
      <c r="Q51" s="1096">
        <f>AVERAGE(Q41:Q49)</f>
        <v>465.24743589743593</v>
      </c>
      <c r="R51" s="1096">
        <f>AVERAGE(R41:R49)</f>
        <v>909</v>
      </c>
      <c r="S51" s="1096">
        <f>AVERAGE(S41:S49)</f>
        <v>257.77962962962965</v>
      </c>
    </row>
    <row r="52" spans="1:19" ht="15.5">
      <c r="A52" s="2240"/>
      <c r="B52" s="2240"/>
      <c r="C52" s="2240"/>
      <c r="D52" s="2240"/>
      <c r="E52" s="2240"/>
      <c r="F52" s="2240"/>
      <c r="G52" s="2240"/>
      <c r="H52" s="2240"/>
      <c r="I52" s="2240"/>
      <c r="J52" s="2240"/>
      <c r="K52" s="2240"/>
      <c r="L52" s="2240"/>
      <c r="M52" s="2240"/>
      <c r="N52" s="2240"/>
      <c r="O52" s="2240"/>
      <c r="P52" s="2240"/>
      <c r="Q52" s="2240"/>
      <c r="R52" s="2240"/>
      <c r="S52" s="2240"/>
    </row>
    <row r="53" spans="1:19">
      <c r="A53" s="80"/>
      <c r="B53" s="468"/>
      <c r="C53" s="468"/>
      <c r="D53" s="468"/>
      <c r="E53" s="467"/>
      <c r="F53" s="467"/>
      <c r="G53" s="467"/>
      <c r="H53" s="467"/>
      <c r="I53" s="467"/>
      <c r="J53" s="467"/>
      <c r="K53" s="467"/>
      <c r="L53" s="467"/>
      <c r="M53" s="467"/>
      <c r="N53" s="467"/>
      <c r="O53" s="467"/>
      <c r="P53" s="467"/>
      <c r="Q53" s="469"/>
      <c r="R53" s="469"/>
      <c r="S53" s="469"/>
    </row>
    <row r="54" spans="1:19">
      <c r="A54" s="80"/>
      <c r="B54" s="468"/>
      <c r="C54" s="468"/>
      <c r="D54" s="468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67"/>
      <c r="P54" s="467"/>
      <c r="Q54" s="469"/>
      <c r="R54" s="469"/>
      <c r="S54" s="469"/>
    </row>
    <row r="55" spans="1:19">
      <c r="A55" s="80"/>
      <c r="B55" s="468"/>
      <c r="C55" s="468"/>
      <c r="D55" s="468"/>
      <c r="E55" s="467"/>
      <c r="F55" s="467"/>
      <c r="G55" s="467"/>
      <c r="H55" s="467"/>
      <c r="I55" s="467"/>
      <c r="J55" s="467"/>
      <c r="K55" s="467"/>
      <c r="L55" s="467"/>
      <c r="M55" s="467"/>
      <c r="N55" s="467"/>
      <c r="O55" s="467"/>
      <c r="P55" s="467"/>
      <c r="Q55" s="469"/>
      <c r="R55" s="469"/>
      <c r="S55" s="469"/>
    </row>
    <row r="56" spans="1:19">
      <c r="A56" s="80"/>
      <c r="B56" s="468"/>
      <c r="C56" s="468"/>
      <c r="D56" s="468"/>
      <c r="E56" s="467"/>
      <c r="F56" s="467"/>
      <c r="G56" s="467"/>
      <c r="H56" s="467"/>
      <c r="I56" s="467"/>
      <c r="J56" s="467"/>
      <c r="K56" s="467"/>
      <c r="L56" s="467"/>
      <c r="M56" s="467"/>
      <c r="N56" s="467"/>
      <c r="O56" s="467"/>
      <c r="P56" s="467"/>
      <c r="Q56" s="469"/>
      <c r="R56" s="469"/>
      <c r="S56" s="469"/>
    </row>
    <row r="57" spans="1:19">
      <c r="A57" s="80"/>
      <c r="B57" s="468"/>
      <c r="C57" s="468"/>
      <c r="D57" s="468"/>
      <c r="E57" s="467"/>
      <c r="F57" s="467"/>
      <c r="G57" s="467"/>
      <c r="H57" s="467"/>
      <c r="I57" s="467"/>
      <c r="J57" s="467"/>
      <c r="K57" s="467"/>
      <c r="L57" s="467"/>
      <c r="M57" s="467"/>
      <c r="N57" s="467"/>
      <c r="O57" s="467"/>
      <c r="P57" s="467"/>
      <c r="Q57" s="469"/>
      <c r="R57" s="469"/>
      <c r="S57" s="469"/>
    </row>
    <row r="58" spans="1:19">
      <c r="A58" s="80"/>
      <c r="B58" s="468"/>
      <c r="C58" s="468"/>
      <c r="D58" s="468"/>
      <c r="E58" s="467"/>
      <c r="F58" s="467"/>
      <c r="G58" s="467"/>
      <c r="H58" s="467"/>
      <c r="I58" s="467"/>
      <c r="J58" s="467"/>
      <c r="K58" s="467"/>
      <c r="L58" s="467"/>
      <c r="M58" s="467"/>
      <c r="N58" s="467"/>
      <c r="O58" s="467"/>
      <c r="P58" s="467"/>
      <c r="Q58" s="469"/>
      <c r="R58" s="469"/>
      <c r="S58" s="469"/>
    </row>
    <row r="59" spans="1:19">
      <c r="A59" s="80"/>
      <c r="B59" s="468"/>
      <c r="C59" s="468"/>
      <c r="D59" s="468"/>
      <c r="E59" s="467"/>
      <c r="F59" s="467"/>
      <c r="G59" s="467"/>
      <c r="H59" s="467"/>
      <c r="I59" s="467"/>
      <c r="J59" s="467"/>
      <c r="K59" s="467"/>
      <c r="L59" s="467"/>
      <c r="M59" s="467"/>
      <c r="N59" s="467"/>
      <c r="O59" s="467"/>
      <c r="P59" s="467"/>
      <c r="Q59" s="469"/>
      <c r="R59" s="469"/>
      <c r="S59" s="469"/>
    </row>
    <row r="60" spans="1:19">
      <c r="A60" s="80"/>
      <c r="B60" s="468"/>
      <c r="C60" s="468"/>
      <c r="D60" s="468"/>
      <c r="E60" s="467"/>
      <c r="F60" s="467"/>
      <c r="G60" s="467"/>
      <c r="H60" s="467"/>
      <c r="I60" s="467"/>
      <c r="J60" s="467"/>
      <c r="K60" s="467"/>
      <c r="L60" s="467"/>
      <c r="M60" s="467"/>
      <c r="N60" s="467"/>
      <c r="O60" s="467"/>
      <c r="P60" s="467"/>
      <c r="Q60" s="469"/>
      <c r="R60" s="469"/>
      <c r="S60" s="469"/>
    </row>
    <row r="61" spans="1:19">
      <c r="A61" s="80"/>
      <c r="B61" s="468"/>
      <c r="C61" s="468"/>
      <c r="D61" s="468"/>
      <c r="E61" s="470"/>
      <c r="F61" s="467"/>
      <c r="G61" s="467"/>
      <c r="H61" s="467"/>
      <c r="I61" s="467"/>
      <c r="J61" s="467"/>
      <c r="K61" s="467"/>
      <c r="L61" s="467"/>
      <c r="M61" s="467"/>
      <c r="N61" s="467"/>
      <c r="O61" s="467"/>
      <c r="P61" s="467"/>
      <c r="Q61" s="469"/>
      <c r="R61" s="469"/>
      <c r="S61" s="469"/>
    </row>
    <row r="62" spans="1:19">
      <c r="A62" s="80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</row>
    <row r="63" spans="1:19">
      <c r="A63" s="80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</row>
    <row r="64" spans="1:19">
      <c r="A64" s="80"/>
      <c r="B64" s="468"/>
      <c r="C64" s="468"/>
      <c r="D64" s="468"/>
      <c r="E64" s="467"/>
      <c r="F64" s="467"/>
      <c r="G64" s="467"/>
      <c r="H64" s="467"/>
      <c r="I64" s="467"/>
      <c r="J64" s="467"/>
      <c r="K64" s="467"/>
      <c r="L64" s="467"/>
      <c r="M64" s="467"/>
      <c r="N64" s="467"/>
      <c r="O64" s="467"/>
      <c r="P64" s="467"/>
      <c r="Q64" s="469"/>
      <c r="R64" s="469"/>
      <c r="S64" s="469"/>
    </row>
    <row r="65" spans="1:19">
      <c r="A65" s="80"/>
      <c r="B65" s="468"/>
      <c r="C65" s="468"/>
      <c r="D65" s="468"/>
      <c r="E65" s="467"/>
      <c r="F65" s="467"/>
      <c r="G65" s="467"/>
      <c r="H65" s="467"/>
      <c r="I65" s="467"/>
      <c r="J65" s="467"/>
      <c r="K65" s="467"/>
      <c r="L65" s="467"/>
      <c r="M65" s="467"/>
      <c r="N65" s="467"/>
      <c r="O65" s="467"/>
      <c r="P65" s="467"/>
      <c r="Q65" s="469"/>
      <c r="R65" s="469"/>
      <c r="S65" s="469"/>
    </row>
    <row r="66" spans="1:19">
      <c r="A66" s="80"/>
      <c r="B66" s="468"/>
      <c r="C66" s="468"/>
      <c r="D66" s="468"/>
      <c r="E66" s="467"/>
      <c r="F66" s="467"/>
      <c r="G66" s="467"/>
      <c r="H66" s="467"/>
      <c r="I66" s="467"/>
      <c r="J66" s="467"/>
      <c r="K66" s="467"/>
      <c r="L66" s="467"/>
      <c r="M66" s="467"/>
      <c r="N66" s="467"/>
      <c r="O66" s="467"/>
      <c r="P66" s="467"/>
      <c r="Q66" s="469"/>
      <c r="R66" s="469"/>
      <c r="S66" s="469"/>
    </row>
    <row r="67" spans="1:19">
      <c r="A67" s="80"/>
      <c r="B67" s="468"/>
      <c r="C67" s="468"/>
      <c r="D67" s="468"/>
      <c r="E67" s="467"/>
      <c r="F67" s="467"/>
      <c r="G67" s="467"/>
      <c r="H67" s="467"/>
      <c r="I67" s="467"/>
      <c r="J67" s="467"/>
      <c r="K67" s="467"/>
      <c r="L67" s="467"/>
      <c r="M67" s="467"/>
      <c r="N67" s="467"/>
      <c r="O67" s="467"/>
      <c r="P67" s="467"/>
      <c r="Q67" s="469"/>
      <c r="R67" s="469"/>
      <c r="S67" s="469"/>
    </row>
    <row r="68" spans="1:19">
      <c r="A68" s="80"/>
      <c r="B68" s="468"/>
      <c r="C68" s="468"/>
      <c r="D68" s="468"/>
      <c r="E68" s="467"/>
      <c r="F68" s="467"/>
      <c r="G68" s="467"/>
      <c r="H68" s="467"/>
      <c r="I68" s="467"/>
      <c r="J68" s="467"/>
      <c r="K68" s="467"/>
      <c r="L68" s="467"/>
      <c r="M68" s="467"/>
      <c r="N68" s="467"/>
      <c r="O68" s="467"/>
      <c r="P68" s="467"/>
      <c r="Q68" s="469"/>
      <c r="R68" s="469"/>
      <c r="S68" s="469"/>
    </row>
    <row r="69" spans="1:19">
      <c r="A69" s="80"/>
      <c r="B69" s="468"/>
      <c r="C69" s="468"/>
      <c r="D69" s="468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7"/>
      <c r="Q69" s="469"/>
      <c r="R69" s="469"/>
      <c r="S69" s="469"/>
    </row>
    <row r="70" spans="1:19">
      <c r="A70" s="80"/>
      <c r="B70" s="468"/>
      <c r="C70" s="468"/>
      <c r="D70" s="468"/>
      <c r="E70" s="467"/>
      <c r="F70" s="467"/>
      <c r="G70" s="467"/>
      <c r="H70" s="467"/>
      <c r="I70" s="467"/>
      <c r="J70" s="467"/>
      <c r="K70" s="467"/>
      <c r="L70" s="467"/>
      <c r="M70" s="467"/>
      <c r="N70" s="467"/>
      <c r="O70" s="467"/>
      <c r="P70" s="467"/>
      <c r="Q70" s="469"/>
      <c r="R70" s="469"/>
      <c r="S70" s="469"/>
    </row>
    <row r="71" spans="1:19">
      <c r="A71" s="80"/>
      <c r="B71" s="468"/>
      <c r="C71" s="468"/>
      <c r="D71" s="468"/>
      <c r="E71" s="467"/>
      <c r="F71" s="467"/>
      <c r="G71" s="467"/>
      <c r="H71" s="467"/>
      <c r="I71" s="467"/>
      <c r="J71" s="467"/>
      <c r="K71" s="467"/>
      <c r="L71" s="467"/>
      <c r="M71" s="467"/>
      <c r="N71" s="467"/>
      <c r="O71" s="467"/>
      <c r="P71" s="467"/>
      <c r="Q71" s="469"/>
      <c r="R71" s="469"/>
      <c r="S71" s="469"/>
    </row>
    <row r="72" spans="1:19">
      <c r="A72" s="80"/>
      <c r="B72" s="468"/>
      <c r="C72" s="468"/>
      <c r="D72" s="468"/>
      <c r="E72" s="467"/>
      <c r="F72" s="467"/>
      <c r="G72" s="467"/>
      <c r="H72" s="467"/>
      <c r="I72" s="467"/>
      <c r="J72" s="467"/>
      <c r="K72" s="467"/>
      <c r="L72" s="467"/>
      <c r="M72" s="467"/>
      <c r="N72" s="467"/>
      <c r="O72" s="467"/>
      <c r="P72" s="467"/>
      <c r="Q72" s="469"/>
      <c r="R72" s="469"/>
      <c r="S72" s="469"/>
    </row>
    <row r="73" spans="1:19">
      <c r="A73" s="80"/>
      <c r="B73" s="468"/>
      <c r="C73" s="468"/>
      <c r="D73" s="468"/>
      <c r="E73" s="467"/>
      <c r="F73" s="467"/>
      <c r="G73" s="467"/>
      <c r="H73" s="467"/>
      <c r="I73" s="467"/>
      <c r="J73" s="467"/>
      <c r="K73" s="467"/>
      <c r="L73" s="467"/>
      <c r="M73" s="467"/>
      <c r="N73" s="467"/>
      <c r="O73" s="467"/>
      <c r="P73" s="467"/>
      <c r="Q73" s="469"/>
      <c r="R73" s="469"/>
      <c r="S73" s="469"/>
    </row>
    <row r="74" spans="1:19">
      <c r="A74" s="80"/>
      <c r="B74" s="468"/>
      <c r="C74" s="468"/>
      <c r="D74" s="468"/>
      <c r="E74" s="467"/>
      <c r="F74" s="467"/>
      <c r="G74" s="467"/>
      <c r="H74" s="467"/>
      <c r="I74" s="467"/>
      <c r="J74" s="467"/>
      <c r="K74" s="467"/>
      <c r="L74" s="467"/>
      <c r="M74" s="467"/>
      <c r="N74" s="467"/>
      <c r="O74" s="467"/>
      <c r="P74" s="467"/>
      <c r="Q74" s="469"/>
      <c r="R74" s="469"/>
      <c r="S74" s="469"/>
    </row>
    <row r="75" spans="1:19">
      <c r="A75" s="80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</row>
    <row r="76" spans="1:19">
      <c r="A76" s="80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</row>
  </sheetData>
  <mergeCells count="5">
    <mergeCell ref="A25:S25"/>
    <mergeCell ref="A40:S40"/>
    <mergeCell ref="A52:S52"/>
    <mergeCell ref="A1:O1"/>
    <mergeCell ref="A8:S8"/>
  </mergeCells>
  <phoneticPr fontId="0" type="noConversion"/>
  <pageMargins left="0.75" right="0.75" top="1" bottom="1" header="0.5" footer="0.5"/>
  <pageSetup scale="7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tabColor rgb="FF92D050"/>
    <pageSetUpPr fitToPage="1"/>
  </sheetPr>
  <dimension ref="A1:Y80"/>
  <sheetViews>
    <sheetView zoomScale="75" zoomScaleNormal="75" workbookViewId="0">
      <selection activeCell="B6" sqref="B6:P6"/>
    </sheetView>
  </sheetViews>
  <sheetFormatPr defaultRowHeight="14"/>
  <cols>
    <col min="1" max="1" width="31.6328125" style="1" customWidth="1"/>
    <col min="2" max="2" width="4.90625" bestFit="1" customWidth="1"/>
    <col min="3" max="3" width="6.36328125" bestFit="1" customWidth="1"/>
    <col min="4" max="4" width="6.7265625" bestFit="1" customWidth="1"/>
    <col min="5" max="5" width="5.453125" bestFit="1" customWidth="1"/>
    <col min="6" max="7" width="6.26953125" bestFit="1" customWidth="1"/>
    <col min="8" max="8" width="4.81640625" bestFit="1" customWidth="1"/>
    <col min="9" max="9" width="5.81640625" bestFit="1" customWidth="1"/>
    <col min="10" max="10" width="5.6328125" bestFit="1" customWidth="1"/>
    <col min="11" max="11" width="6.6328125" bestFit="1" customWidth="1"/>
    <col min="12" max="12" width="5.81640625" bestFit="1" customWidth="1"/>
    <col min="13" max="14" width="6.26953125" bestFit="1" customWidth="1"/>
    <col min="15" max="15" width="6.6328125" bestFit="1" customWidth="1"/>
    <col min="16" max="16" width="5.54296875" bestFit="1" customWidth="1"/>
    <col min="17" max="17" width="8.90625" customWidth="1"/>
    <col min="18" max="18" width="5.08984375" bestFit="1" customWidth="1"/>
    <col min="19" max="19" width="9.453125" customWidth="1"/>
    <col min="20" max="20" width="10.90625" customWidth="1"/>
    <col min="21" max="21" width="11.36328125" customWidth="1"/>
    <col min="22" max="22" width="10.90625" customWidth="1"/>
    <col min="23" max="23" width="11.36328125" customWidth="1"/>
    <col min="24" max="24" width="10.36328125" customWidth="1"/>
    <col min="25" max="25" width="10.90625" customWidth="1"/>
  </cols>
  <sheetData>
    <row r="1" spans="1:25" ht="15.5">
      <c r="A1" s="2240" t="s">
        <v>138</v>
      </c>
      <c r="B1" s="2240"/>
      <c r="C1" s="2240"/>
      <c r="D1" s="2240"/>
      <c r="E1" s="2240"/>
      <c r="F1" s="2240"/>
      <c r="G1" s="2240"/>
      <c r="H1" s="2240"/>
      <c r="I1" s="2240"/>
      <c r="J1" s="2240"/>
      <c r="K1" s="2240"/>
      <c r="L1" s="2240"/>
      <c r="M1" s="2240"/>
      <c r="N1" s="2240"/>
      <c r="O1" s="2240"/>
      <c r="P1" s="1030"/>
    </row>
    <row r="2" spans="1:25" ht="26">
      <c r="A2" s="71"/>
      <c r="B2" s="1284">
        <v>43472</v>
      </c>
      <c r="C2" s="1284">
        <v>43507</v>
      </c>
      <c r="D2" s="1284">
        <v>43545</v>
      </c>
      <c r="E2" s="1284">
        <v>43563</v>
      </c>
      <c r="F2" s="1284">
        <v>43591</v>
      </c>
      <c r="G2" s="1284">
        <v>43626</v>
      </c>
      <c r="H2" s="1284">
        <v>43654</v>
      </c>
      <c r="I2" s="1284">
        <v>43661</v>
      </c>
      <c r="J2" s="1284">
        <v>43682</v>
      </c>
      <c r="K2" s="1284">
        <v>43690</v>
      </c>
      <c r="L2" s="1284">
        <v>43717</v>
      </c>
      <c r="M2" s="1284">
        <v>43724</v>
      </c>
      <c r="N2" s="1284">
        <v>43752</v>
      </c>
      <c r="O2" s="1284">
        <v>43783</v>
      </c>
      <c r="P2" s="1284">
        <v>43808</v>
      </c>
      <c r="Q2" s="1080" t="s">
        <v>84</v>
      </c>
      <c r="R2" s="1081" t="s">
        <v>76</v>
      </c>
      <c r="S2" s="1081" t="s">
        <v>102</v>
      </c>
    </row>
    <row r="3" spans="1:25">
      <c r="A3" s="2162" t="s">
        <v>1686</v>
      </c>
      <c r="B3" s="1762"/>
      <c r="C3" s="2150">
        <v>8.1</v>
      </c>
      <c r="D3" s="2150">
        <v>8.26</v>
      </c>
      <c r="E3" s="2150">
        <v>8.2200000000000006</v>
      </c>
      <c r="F3" s="2150">
        <v>8.07</v>
      </c>
      <c r="G3" s="2150">
        <v>8.06</v>
      </c>
      <c r="H3" s="2156">
        <v>8.2899999999999991</v>
      </c>
      <c r="I3" s="2150"/>
      <c r="J3" s="2151">
        <v>7.89</v>
      </c>
      <c r="K3" s="2150"/>
      <c r="L3" s="2150">
        <v>8.2100000000000009</v>
      </c>
      <c r="M3" s="2150">
        <v>8.09</v>
      </c>
      <c r="N3" s="2150">
        <v>8.24</v>
      </c>
      <c r="O3" s="2150">
        <v>8.4600000000000009</v>
      </c>
      <c r="P3" s="2151">
        <v>7.43</v>
      </c>
      <c r="Q3" s="1076">
        <f>AVERAGE(B3:P3)</f>
        <v>8.11</v>
      </c>
      <c r="R3" s="1077">
        <f>MAX(B3:P3)</f>
        <v>8.4600000000000009</v>
      </c>
      <c r="S3" s="1077">
        <f>AVERAGE(H3:M3)</f>
        <v>8.120000000000001</v>
      </c>
    </row>
    <row r="4" spans="1:25">
      <c r="A4" s="1091" t="s">
        <v>297</v>
      </c>
      <c r="B4" s="1083">
        <v>8.2799999999999994</v>
      </c>
      <c r="C4" s="1083">
        <v>8.1199999999999992</v>
      </c>
      <c r="D4" s="1083">
        <v>8.23</v>
      </c>
      <c r="E4" s="1083">
        <v>8.25</v>
      </c>
      <c r="F4" s="1083">
        <v>8.01</v>
      </c>
      <c r="G4" s="1083">
        <v>8.14</v>
      </c>
      <c r="H4" s="1084">
        <v>8.2799999999999994</v>
      </c>
      <c r="I4" s="1082">
        <v>8.5399999999999991</v>
      </c>
      <c r="J4" s="1085">
        <v>7.94</v>
      </c>
      <c r="K4" s="1083">
        <v>8.1</v>
      </c>
      <c r="L4" s="1083">
        <v>8.35</v>
      </c>
      <c r="M4" s="1083">
        <v>7.78</v>
      </c>
      <c r="N4" s="1083">
        <v>8.7200000000000006</v>
      </c>
      <c r="O4" s="1083">
        <v>8.58</v>
      </c>
      <c r="P4" s="1086">
        <v>7.54</v>
      </c>
      <c r="Q4" s="1076">
        <f>AVERAGE(B4:P4)</f>
        <v>8.1906666666666652</v>
      </c>
      <c r="R4" s="1077">
        <f>MAX(B4:P4)</f>
        <v>8.7200000000000006</v>
      </c>
      <c r="S4" s="1077">
        <f>AVERAGE(H4:M4)</f>
        <v>8.1650000000000009</v>
      </c>
    </row>
    <row r="5" spans="1:25" s="6" customFormat="1">
      <c r="A5" s="1092" t="s">
        <v>298</v>
      </c>
      <c r="B5" s="1083">
        <v>8.4600000000000009</v>
      </c>
      <c r="C5" s="1083">
        <v>8.08</v>
      </c>
      <c r="D5" s="1083">
        <v>8.52</v>
      </c>
      <c r="E5" s="1083">
        <v>8.3800000000000008</v>
      </c>
      <c r="F5" s="1083">
        <v>8.2100000000000009</v>
      </c>
      <c r="G5" s="1083">
        <v>8.19</v>
      </c>
      <c r="H5" s="1084">
        <v>8.3699999999999992</v>
      </c>
      <c r="I5" s="1083">
        <v>8.48</v>
      </c>
      <c r="J5" s="1085">
        <v>8.0299999999999994</v>
      </c>
      <c r="K5" s="1083">
        <v>8.6300000000000008</v>
      </c>
      <c r="L5" s="1083">
        <v>8.51</v>
      </c>
      <c r="M5" s="1083">
        <v>7.21</v>
      </c>
      <c r="N5" s="1083">
        <v>8.35</v>
      </c>
      <c r="O5" s="1083">
        <v>8.67</v>
      </c>
      <c r="P5" s="1086">
        <v>7.69</v>
      </c>
      <c r="Q5" s="1076">
        <f>AVERAGE(B5:P5)</f>
        <v>8.2519999999999989</v>
      </c>
      <c r="R5" s="1077">
        <f>MAX(B5:P5)</f>
        <v>8.67</v>
      </c>
      <c r="S5" s="1077">
        <f>AVERAGE(H5:M5)</f>
        <v>8.2050000000000001</v>
      </c>
    </row>
    <row r="6" spans="1:25">
      <c r="A6" s="1092" t="s">
        <v>299</v>
      </c>
      <c r="B6" s="1083">
        <v>8.4499999999999993</v>
      </c>
      <c r="C6" s="1083">
        <v>8.51</v>
      </c>
      <c r="D6" s="1083">
        <v>8.66</v>
      </c>
      <c r="E6" s="1083">
        <v>8.5</v>
      </c>
      <c r="F6" s="1083">
        <v>8.0299999999999994</v>
      </c>
      <c r="G6" s="1083">
        <v>8.27</v>
      </c>
      <c r="H6" s="1084">
        <v>8.09</v>
      </c>
      <c r="I6" s="1082">
        <v>8.31</v>
      </c>
      <c r="J6" s="1087">
        <v>8.18</v>
      </c>
      <c r="K6" s="1083">
        <v>8.08</v>
      </c>
      <c r="L6" s="1083">
        <v>8.2899999999999991</v>
      </c>
      <c r="M6" s="1083">
        <v>8.41</v>
      </c>
      <c r="N6" s="1083">
        <v>8.07</v>
      </c>
      <c r="O6" s="1083">
        <v>8.2899999999999991</v>
      </c>
      <c r="P6" s="1083">
        <v>7.59</v>
      </c>
      <c r="Q6" s="1076">
        <f>AVERAGE(B6:P6)</f>
        <v>8.2486666666666668</v>
      </c>
      <c r="R6" s="1077">
        <f>MAX(B6:P6)</f>
        <v>8.66</v>
      </c>
      <c r="S6" s="1077">
        <f>AVERAGE(H6:M6)</f>
        <v>8.2266666666666666</v>
      </c>
      <c r="T6" s="5"/>
      <c r="U6" s="5"/>
      <c r="V6" s="5"/>
      <c r="W6" s="5"/>
      <c r="X6" s="5"/>
      <c r="Y6" s="5"/>
    </row>
    <row r="7" spans="1:25">
      <c r="A7" s="1093" t="s">
        <v>861</v>
      </c>
      <c r="B7" s="1088">
        <v>8.32</v>
      </c>
      <c r="C7" s="1088">
        <v>7.98</v>
      </c>
      <c r="D7" s="1088">
        <v>8.41</v>
      </c>
      <c r="E7" s="1088">
        <v>8.19</v>
      </c>
      <c r="F7" s="1088">
        <v>8.11</v>
      </c>
      <c r="G7" s="1088">
        <v>8.2200000000000006</v>
      </c>
      <c r="H7" s="1088">
        <v>7.86</v>
      </c>
      <c r="I7" s="1082">
        <v>7.94</v>
      </c>
      <c r="J7" s="1087">
        <v>7.96</v>
      </c>
      <c r="K7" s="1083">
        <v>8.06</v>
      </c>
      <c r="L7" s="1083">
        <v>8.07</v>
      </c>
      <c r="M7" s="1083">
        <v>8.2200000000000006</v>
      </c>
      <c r="N7" s="1083">
        <v>7.98</v>
      </c>
      <c r="O7" s="1083">
        <v>8.23</v>
      </c>
      <c r="P7" s="1083">
        <v>7.55</v>
      </c>
      <c r="Q7" s="1076">
        <f>AVERAGE(B7:P7)</f>
        <v>8.0733333333333341</v>
      </c>
      <c r="R7" s="1077">
        <f>MAX(B7:P7)</f>
        <v>8.41</v>
      </c>
      <c r="S7" s="1077">
        <f>AVERAGE(H7:M7)</f>
        <v>8.0183333333333326</v>
      </c>
      <c r="T7" s="5"/>
      <c r="U7" s="5"/>
      <c r="V7" s="5"/>
      <c r="W7" s="5"/>
      <c r="X7" s="5"/>
      <c r="Y7" s="5"/>
    </row>
    <row r="8" spans="1:25" ht="15.5">
      <c r="A8" s="2298" t="s">
        <v>291</v>
      </c>
      <c r="B8" s="2299"/>
      <c r="C8" s="2299"/>
      <c r="D8" s="2299"/>
      <c r="E8" s="2299"/>
      <c r="F8" s="2299"/>
      <c r="G8" s="2299"/>
      <c r="H8" s="2299"/>
      <c r="I8" s="2299"/>
      <c r="J8" s="2299"/>
      <c r="K8" s="2299"/>
      <c r="L8" s="2299"/>
      <c r="M8" s="2299"/>
      <c r="N8" s="2299"/>
      <c r="O8" s="2299"/>
      <c r="P8" s="2299"/>
      <c r="Q8" s="2299"/>
      <c r="R8" s="2299"/>
      <c r="S8" s="2300"/>
      <c r="T8" s="5"/>
      <c r="U8" s="5"/>
      <c r="V8" s="5"/>
      <c r="W8" s="5"/>
      <c r="X8" s="5"/>
      <c r="Y8" s="5"/>
    </row>
    <row r="9" spans="1:25">
      <c r="A9" s="118" t="s">
        <v>235</v>
      </c>
      <c r="B9" s="1083">
        <v>8.61</v>
      </c>
      <c r="C9" s="1083">
        <v>8.4</v>
      </c>
      <c r="D9" s="1083">
        <v>8.5299999999999994</v>
      </c>
      <c r="E9" s="1083">
        <v>8.58</v>
      </c>
      <c r="F9" s="1083">
        <v>7.97</v>
      </c>
      <c r="G9" s="1083">
        <v>8</v>
      </c>
      <c r="H9" s="1083">
        <v>8.42</v>
      </c>
      <c r="I9" s="1083">
        <v>8.65</v>
      </c>
      <c r="J9" s="1089">
        <v>7.9</v>
      </c>
      <c r="K9" s="1083">
        <v>8.1999999999999993</v>
      </c>
      <c r="L9" s="1083">
        <v>8.34</v>
      </c>
      <c r="M9" s="1083">
        <v>7.95</v>
      </c>
      <c r="N9" s="1083">
        <v>8.36</v>
      </c>
      <c r="O9" s="1083">
        <v>8.56</v>
      </c>
      <c r="P9" s="1086">
        <v>7.6</v>
      </c>
      <c r="Q9" s="1076">
        <f t="shared" ref="Q9:Q15" si="0">AVERAGE(B9:P9)</f>
        <v>8.2713333333333345</v>
      </c>
      <c r="R9" s="1077">
        <f t="shared" ref="R9:R15" si="1">MAX(B9:P9)</f>
        <v>8.65</v>
      </c>
      <c r="S9" s="1077">
        <f t="shared" ref="S9:S22" si="2">AVERAGE(H9:M9)</f>
        <v>8.2433333333333341</v>
      </c>
      <c r="T9" s="5"/>
      <c r="U9" s="5"/>
      <c r="V9" s="5"/>
      <c r="W9" s="5"/>
      <c r="X9" s="5"/>
      <c r="Y9" s="5"/>
    </row>
    <row r="10" spans="1:25">
      <c r="A10" s="118" t="s">
        <v>139</v>
      </c>
      <c r="B10" s="1083">
        <v>8.6999999999999993</v>
      </c>
      <c r="C10" s="1083">
        <v>8.61</v>
      </c>
      <c r="D10" s="1083">
        <v>8.5299999999999994</v>
      </c>
      <c r="E10" s="1083">
        <v>8.6199999999999992</v>
      </c>
      <c r="F10" s="1083">
        <v>7.97</v>
      </c>
      <c r="G10" s="1083">
        <v>7.94</v>
      </c>
      <c r="H10" s="1083">
        <v>8.41</v>
      </c>
      <c r="I10" s="1083">
        <v>8.5299999999999994</v>
      </c>
      <c r="J10" s="1089">
        <v>8</v>
      </c>
      <c r="K10" s="1083">
        <v>8.07</v>
      </c>
      <c r="L10" s="1083">
        <v>8.33</v>
      </c>
      <c r="M10" s="1083">
        <v>8.11</v>
      </c>
      <c r="N10" s="1083">
        <v>8.3699999999999992</v>
      </c>
      <c r="O10" s="1083">
        <v>8.4600000000000009</v>
      </c>
      <c r="P10" s="1086">
        <v>7.6</v>
      </c>
      <c r="Q10" s="1076">
        <f t="shared" si="0"/>
        <v>8.2833333333333332</v>
      </c>
      <c r="R10" s="1077">
        <f t="shared" si="1"/>
        <v>8.6999999999999993</v>
      </c>
      <c r="S10" s="1077">
        <f t="shared" si="2"/>
        <v>8.2416666666666654</v>
      </c>
      <c r="T10" s="5"/>
      <c r="U10" s="5"/>
      <c r="V10" s="5"/>
      <c r="W10" s="5"/>
      <c r="X10" s="5"/>
      <c r="Y10" s="5"/>
    </row>
    <row r="11" spans="1:25">
      <c r="A11" s="118" t="s">
        <v>236</v>
      </c>
      <c r="B11" s="1083">
        <v>8.77</v>
      </c>
      <c r="C11" s="1083">
        <v>8.51</v>
      </c>
      <c r="D11" s="1083">
        <v>8.5299999999999994</v>
      </c>
      <c r="E11" s="1083">
        <v>8.61</v>
      </c>
      <c r="F11" s="1083">
        <v>7.92</v>
      </c>
      <c r="G11" s="1083">
        <v>7.95</v>
      </c>
      <c r="H11" s="1083">
        <v>8.41</v>
      </c>
      <c r="I11" s="1083">
        <v>8.4700000000000006</v>
      </c>
      <c r="J11" s="1089">
        <v>7.93</v>
      </c>
      <c r="K11" s="1083">
        <v>8.0399999999999991</v>
      </c>
      <c r="L11" s="1083">
        <v>8.2899999999999991</v>
      </c>
      <c r="M11" s="1083">
        <v>8.1300000000000008</v>
      </c>
      <c r="N11" s="1083">
        <v>8.35</v>
      </c>
      <c r="O11" s="1083">
        <v>8.44</v>
      </c>
      <c r="P11" s="1086">
        <v>7.6</v>
      </c>
      <c r="Q11" s="1076">
        <f t="shared" si="0"/>
        <v>8.2633333333333301</v>
      </c>
      <c r="R11" s="1077">
        <f t="shared" si="1"/>
        <v>8.77</v>
      </c>
      <c r="S11" s="1077">
        <f t="shared" si="2"/>
        <v>8.2116666666666678</v>
      </c>
      <c r="T11" s="5"/>
      <c r="U11" s="5"/>
      <c r="V11" s="5"/>
      <c r="W11" s="5"/>
      <c r="X11" s="5"/>
      <c r="Y11" s="5"/>
    </row>
    <row r="12" spans="1:25">
      <c r="A12" s="118" t="s">
        <v>140</v>
      </c>
      <c r="B12" s="1088">
        <v>8.81</v>
      </c>
      <c r="C12" s="1083">
        <v>8.41</v>
      </c>
      <c r="D12" s="1083">
        <v>8.52</v>
      </c>
      <c r="E12" s="1083">
        <v>8.56</v>
      </c>
      <c r="F12" s="1083">
        <v>7.88</v>
      </c>
      <c r="G12" s="1083">
        <v>7.92</v>
      </c>
      <c r="H12" s="1083">
        <v>8.3800000000000008</v>
      </c>
      <c r="I12" s="1083">
        <v>8.42</v>
      </c>
      <c r="J12" s="1089">
        <v>7.87</v>
      </c>
      <c r="K12" s="1083">
        <v>8.06</v>
      </c>
      <c r="L12" s="1083">
        <v>8.2200000000000006</v>
      </c>
      <c r="M12" s="1083">
        <v>8.15</v>
      </c>
      <c r="N12" s="1083">
        <v>8.32</v>
      </c>
      <c r="O12" s="1083">
        <v>8.43</v>
      </c>
      <c r="P12" s="1086">
        <v>7.6</v>
      </c>
      <c r="Q12" s="1076">
        <f t="shared" si="0"/>
        <v>8.2366666666666681</v>
      </c>
      <c r="R12" s="1077">
        <f t="shared" si="1"/>
        <v>8.81</v>
      </c>
      <c r="S12" s="1077">
        <f t="shared" si="2"/>
        <v>8.1833333333333336</v>
      </c>
    </row>
    <row r="13" spans="1:25">
      <c r="A13" s="118" t="s">
        <v>237</v>
      </c>
      <c r="B13" s="1083">
        <v>8.6199999999999992</v>
      </c>
      <c r="C13" s="1083">
        <v>8.32</v>
      </c>
      <c r="D13" s="1083">
        <v>8.51</v>
      </c>
      <c r="E13" s="1083">
        <v>8.59</v>
      </c>
      <c r="F13" s="1083">
        <v>7.86</v>
      </c>
      <c r="G13" s="1083">
        <v>7.9</v>
      </c>
      <c r="H13" s="1083">
        <v>8.3000000000000007</v>
      </c>
      <c r="I13" s="1083">
        <v>8.35</v>
      </c>
      <c r="J13" s="1089">
        <v>7.86</v>
      </c>
      <c r="K13" s="1083">
        <v>7.98</v>
      </c>
      <c r="L13" s="1083">
        <v>8.1999999999999993</v>
      </c>
      <c r="M13" s="1083">
        <v>8.17</v>
      </c>
      <c r="N13" s="1083">
        <v>8.2899999999999991</v>
      </c>
      <c r="O13" s="1083">
        <v>8.42</v>
      </c>
      <c r="P13" s="1086">
        <v>7.6</v>
      </c>
      <c r="Q13" s="1076">
        <f t="shared" si="0"/>
        <v>8.1979999999999986</v>
      </c>
      <c r="R13" s="1077">
        <f t="shared" si="1"/>
        <v>8.6199999999999992</v>
      </c>
      <c r="S13" s="1077">
        <f t="shared" si="2"/>
        <v>8.1433333333333326</v>
      </c>
    </row>
    <row r="14" spans="1:25">
      <c r="A14" s="118" t="s">
        <v>141</v>
      </c>
      <c r="B14" s="1083">
        <v>8.49</v>
      </c>
      <c r="C14" s="1083">
        <v>8.1</v>
      </c>
      <c r="D14" s="1083">
        <v>8.51</v>
      </c>
      <c r="E14" s="1083">
        <v>8.5299999999999994</v>
      </c>
      <c r="F14" s="1083">
        <v>7.85</v>
      </c>
      <c r="G14" s="1083">
        <v>7.9</v>
      </c>
      <c r="H14" s="1083">
        <v>8.26</v>
      </c>
      <c r="I14" s="1083">
        <v>8.32</v>
      </c>
      <c r="J14" s="1089">
        <v>7.81</v>
      </c>
      <c r="K14" s="1083">
        <v>7.91</v>
      </c>
      <c r="L14" s="1083">
        <v>8.19</v>
      </c>
      <c r="M14" s="1083">
        <v>8.18</v>
      </c>
      <c r="N14" s="1083">
        <v>8.26</v>
      </c>
      <c r="O14" s="1083">
        <v>8.42</v>
      </c>
      <c r="P14" s="1086">
        <v>7.6</v>
      </c>
      <c r="Q14" s="1076">
        <f t="shared" si="0"/>
        <v>8.1553333333333349</v>
      </c>
      <c r="R14" s="1077">
        <f t="shared" si="1"/>
        <v>8.5299999999999994</v>
      </c>
      <c r="S14" s="1077">
        <f t="shared" si="2"/>
        <v>8.1116666666666664</v>
      </c>
    </row>
    <row r="15" spans="1:25">
      <c r="A15" s="118" t="s">
        <v>238</v>
      </c>
      <c r="B15" s="1083"/>
      <c r="C15" s="1083">
        <v>8.02</v>
      </c>
      <c r="D15" s="1083">
        <v>8.5</v>
      </c>
      <c r="E15" s="1083">
        <v>8.4600000000000009</v>
      </c>
      <c r="F15" s="1083">
        <v>7.84</v>
      </c>
      <c r="G15" s="1083">
        <v>7.88</v>
      </c>
      <c r="H15" s="1083">
        <v>8.2200000000000006</v>
      </c>
      <c r="I15" s="1083">
        <v>8.2799999999999994</v>
      </c>
      <c r="J15" s="1089">
        <v>7.77</v>
      </c>
      <c r="K15" s="1083">
        <v>7.94</v>
      </c>
      <c r="L15" s="1083">
        <v>8.17</v>
      </c>
      <c r="M15" s="1083">
        <v>8.1999999999999993</v>
      </c>
      <c r="N15" s="1083">
        <v>8.26</v>
      </c>
      <c r="O15" s="1083">
        <v>8.41</v>
      </c>
      <c r="P15" s="1086">
        <v>7.6</v>
      </c>
      <c r="Q15" s="1076">
        <f t="shared" si="0"/>
        <v>8.1107142857142858</v>
      </c>
      <c r="R15" s="1077">
        <f t="shared" si="1"/>
        <v>8.5</v>
      </c>
      <c r="S15" s="1077">
        <f t="shared" si="2"/>
        <v>8.0966666666666658</v>
      </c>
    </row>
    <row r="16" spans="1:25">
      <c r="A16" s="118" t="s">
        <v>142</v>
      </c>
      <c r="B16" s="1083"/>
      <c r="C16" s="1083">
        <v>7.97</v>
      </c>
      <c r="D16" s="1083">
        <v>8.49</v>
      </c>
      <c r="E16" s="1083">
        <v>8.3800000000000008</v>
      </c>
      <c r="F16" s="1083">
        <v>7.82</v>
      </c>
      <c r="G16" s="1083">
        <v>7.83</v>
      </c>
      <c r="H16" s="1083">
        <v>8.17</v>
      </c>
      <c r="I16" s="1083">
        <v>8.26</v>
      </c>
      <c r="J16" s="1089">
        <v>7.76</v>
      </c>
      <c r="K16" s="1083">
        <v>7.88</v>
      </c>
      <c r="L16" s="1083">
        <v>8.14</v>
      </c>
      <c r="M16" s="1083">
        <v>8.19</v>
      </c>
      <c r="N16" s="1083">
        <v>8.2100000000000009</v>
      </c>
      <c r="O16" s="1083">
        <v>8.4</v>
      </c>
      <c r="P16" s="1086">
        <v>7.5</v>
      </c>
      <c r="Q16" s="1076">
        <f t="shared" ref="Q16:Q22" si="3">AVERAGE(B16:P16)</f>
        <v>8.0714285714285712</v>
      </c>
      <c r="R16" s="1077">
        <f t="shared" ref="R16:R22" si="4">MAX(B16:P16)</f>
        <v>8.49</v>
      </c>
      <c r="S16" s="1077">
        <f t="shared" si="2"/>
        <v>8.0666666666666664</v>
      </c>
    </row>
    <row r="17" spans="1:19">
      <c r="A17" s="118" t="s">
        <v>143</v>
      </c>
      <c r="B17" s="1083"/>
      <c r="C17" s="1083">
        <v>7.9</v>
      </c>
      <c r="D17" s="1083">
        <v>8.35</v>
      </c>
      <c r="E17" s="1083">
        <v>8.2899999999999991</v>
      </c>
      <c r="F17" s="1083">
        <v>7.88</v>
      </c>
      <c r="G17" s="1083">
        <v>7.84</v>
      </c>
      <c r="H17" s="1083">
        <v>8.02</v>
      </c>
      <c r="I17" s="1083">
        <v>8.25</v>
      </c>
      <c r="J17" s="1089">
        <v>7.69</v>
      </c>
      <c r="K17" s="1083">
        <v>7.84</v>
      </c>
      <c r="L17" s="1083">
        <v>8.14</v>
      </c>
      <c r="M17" s="1083">
        <v>8.19</v>
      </c>
      <c r="N17" s="1083">
        <v>8.18</v>
      </c>
      <c r="O17" s="1083">
        <v>8.4</v>
      </c>
      <c r="P17" s="1086">
        <v>7.6</v>
      </c>
      <c r="Q17" s="1076">
        <f t="shared" si="3"/>
        <v>8.0407142857142855</v>
      </c>
      <c r="R17" s="1077">
        <f t="shared" si="4"/>
        <v>8.4</v>
      </c>
      <c r="S17" s="1077">
        <f t="shared" si="2"/>
        <v>8.0216666666666665</v>
      </c>
    </row>
    <row r="18" spans="1:19">
      <c r="A18" s="118" t="s">
        <v>144</v>
      </c>
      <c r="B18" s="1083"/>
      <c r="C18" s="1083">
        <v>7.84</v>
      </c>
      <c r="D18" s="1083">
        <v>8.19</v>
      </c>
      <c r="E18" s="1083">
        <v>8.26</v>
      </c>
      <c r="F18" s="1083">
        <v>7.8</v>
      </c>
      <c r="G18" s="1083">
        <v>7.84</v>
      </c>
      <c r="H18" s="1083">
        <v>8</v>
      </c>
      <c r="I18" s="1083">
        <v>8.23</v>
      </c>
      <c r="J18" s="1089">
        <v>7.71</v>
      </c>
      <c r="K18" s="1083">
        <v>7.8</v>
      </c>
      <c r="L18" s="1083">
        <v>8.1300000000000008</v>
      </c>
      <c r="M18" s="1083">
        <v>8.1999999999999993</v>
      </c>
      <c r="N18" s="1083">
        <v>8.14</v>
      </c>
      <c r="O18" s="1083">
        <v>8.3800000000000008</v>
      </c>
      <c r="P18" s="1086">
        <v>7.5</v>
      </c>
      <c r="Q18" s="1076">
        <f t="shared" si="3"/>
        <v>8.0014285714285709</v>
      </c>
      <c r="R18" s="1077">
        <f t="shared" si="4"/>
        <v>8.3800000000000008</v>
      </c>
      <c r="S18" s="1077">
        <f t="shared" si="2"/>
        <v>8.0116666666666685</v>
      </c>
    </row>
    <row r="19" spans="1:19">
      <c r="A19" s="118" t="s">
        <v>145</v>
      </c>
      <c r="B19" s="1083"/>
      <c r="C19" s="1090"/>
      <c r="D19" s="1083">
        <v>8.1199999999999992</v>
      </c>
      <c r="E19" s="1083">
        <v>8.1999999999999993</v>
      </c>
      <c r="F19" s="1083">
        <v>7.81</v>
      </c>
      <c r="G19" s="1083">
        <v>7.79</v>
      </c>
      <c r="H19" s="1083">
        <v>7.92</v>
      </c>
      <c r="I19" s="1083">
        <v>8.1999999999999993</v>
      </c>
      <c r="J19" s="1089">
        <v>7.71</v>
      </c>
      <c r="K19" s="1083">
        <v>7.83</v>
      </c>
      <c r="L19" s="1083">
        <v>8.11</v>
      </c>
      <c r="M19" s="1083">
        <v>8.19</v>
      </c>
      <c r="N19" s="1083">
        <v>8.1199999999999992</v>
      </c>
      <c r="O19" s="1083">
        <v>8.3699999999999992</v>
      </c>
      <c r="P19" s="1086"/>
      <c r="Q19" s="1076">
        <f t="shared" si="3"/>
        <v>8.0308333333333337</v>
      </c>
      <c r="R19" s="1077">
        <f t="shared" si="4"/>
        <v>8.3699999999999992</v>
      </c>
      <c r="S19" s="1077">
        <f t="shared" si="2"/>
        <v>7.9933333333333323</v>
      </c>
    </row>
    <row r="20" spans="1:19">
      <c r="A20" s="118" t="s">
        <v>146</v>
      </c>
      <c r="B20" s="1083"/>
      <c r="C20" s="1083"/>
      <c r="D20" s="1083">
        <v>8.0399999999999991</v>
      </c>
      <c r="E20" s="1083">
        <v>8.15</v>
      </c>
      <c r="F20" s="1083">
        <v>7.8</v>
      </c>
      <c r="G20" s="1083">
        <v>7.72</v>
      </c>
      <c r="H20" s="1083">
        <v>7.89</v>
      </c>
      <c r="I20" s="1083">
        <v>8.18</v>
      </c>
      <c r="J20" s="1089">
        <v>7.67</v>
      </c>
      <c r="K20" s="1083">
        <v>7.82</v>
      </c>
      <c r="L20" s="1083">
        <v>8.1300000000000008</v>
      </c>
      <c r="M20" s="1083">
        <v>8.16</v>
      </c>
      <c r="N20" s="1083">
        <v>8.1</v>
      </c>
      <c r="O20" s="1083">
        <v>8.3699999999999992</v>
      </c>
      <c r="P20" s="1086"/>
      <c r="Q20" s="1076">
        <f t="shared" si="3"/>
        <v>8.0024999999999995</v>
      </c>
      <c r="R20" s="1077">
        <f t="shared" si="4"/>
        <v>8.3699999999999992</v>
      </c>
      <c r="S20" s="1077">
        <f t="shared" si="2"/>
        <v>7.9750000000000014</v>
      </c>
    </row>
    <row r="21" spans="1:19">
      <c r="A21" s="118" t="s">
        <v>147</v>
      </c>
      <c r="B21" s="1083"/>
      <c r="C21" s="1083"/>
      <c r="D21" s="1083">
        <v>7.96</v>
      </c>
      <c r="E21" s="1083">
        <v>8.07</v>
      </c>
      <c r="F21" s="1083">
        <v>7.78</v>
      </c>
      <c r="G21" s="1083">
        <v>7.7</v>
      </c>
      <c r="H21" s="1083">
        <v>7.8</v>
      </c>
      <c r="I21" s="1083">
        <v>8.1</v>
      </c>
      <c r="J21" s="1089">
        <v>7.83</v>
      </c>
      <c r="K21" s="1083">
        <v>7.78</v>
      </c>
      <c r="L21" s="1083">
        <v>8.1300000000000008</v>
      </c>
      <c r="M21" s="1083">
        <v>8.1199999999999992</v>
      </c>
      <c r="N21" s="1083">
        <v>8.1</v>
      </c>
      <c r="O21" s="1083">
        <v>8.33</v>
      </c>
      <c r="P21" s="1086"/>
      <c r="Q21" s="1076">
        <f t="shared" si="3"/>
        <v>7.9750000000000005</v>
      </c>
      <c r="R21" s="1077">
        <f t="shared" si="4"/>
        <v>8.33</v>
      </c>
      <c r="S21" s="1077">
        <f t="shared" si="2"/>
        <v>7.96</v>
      </c>
    </row>
    <row r="22" spans="1:19">
      <c r="A22" s="118" t="s">
        <v>165</v>
      </c>
      <c r="B22" s="1083"/>
      <c r="C22" s="1083"/>
      <c r="D22" s="1083">
        <v>7.85</v>
      </c>
      <c r="E22" s="1083"/>
      <c r="F22" s="1083">
        <v>7.75</v>
      </c>
      <c r="G22" s="1083">
        <v>7.63</v>
      </c>
      <c r="H22" s="1083">
        <v>7.8</v>
      </c>
      <c r="I22" s="1083">
        <v>8.07</v>
      </c>
      <c r="J22" s="1089">
        <v>7.6</v>
      </c>
      <c r="K22" s="1083">
        <v>7.74</v>
      </c>
      <c r="L22" s="1083">
        <v>8.1</v>
      </c>
      <c r="M22" s="1083">
        <v>8.02</v>
      </c>
      <c r="N22" s="1083"/>
      <c r="O22" s="1083"/>
      <c r="P22" s="1086"/>
      <c r="Q22" s="1076">
        <f t="shared" si="3"/>
        <v>7.84</v>
      </c>
      <c r="R22" s="1077">
        <f t="shared" si="4"/>
        <v>8.1</v>
      </c>
      <c r="S22" s="1077">
        <f t="shared" si="2"/>
        <v>7.8883333333333328</v>
      </c>
    </row>
    <row r="23" spans="1:19">
      <c r="A23" s="118" t="s">
        <v>166</v>
      </c>
      <c r="B23" s="257"/>
      <c r="C23" s="257"/>
      <c r="D23" s="257"/>
      <c r="E23" s="257"/>
      <c r="F23" s="257"/>
      <c r="G23" s="257"/>
      <c r="H23" s="257"/>
      <c r="I23" s="257">
        <v>7.95</v>
      </c>
      <c r="J23" s="212"/>
      <c r="K23" s="257"/>
      <c r="L23" s="257"/>
      <c r="M23" s="257"/>
      <c r="N23" s="257"/>
      <c r="O23" s="257"/>
      <c r="P23" s="1037"/>
      <c r="Q23" s="1076"/>
      <c r="R23" s="1077"/>
      <c r="S23" s="1077"/>
    </row>
    <row r="24" spans="1:19">
      <c r="A24" s="118" t="s">
        <v>304</v>
      </c>
      <c r="B24" s="257">
        <f>AVERAGE(B9:B12)</f>
        <v>8.7225000000000001</v>
      </c>
      <c r="C24" s="257">
        <f t="shared" ref="C24:P24" si="5">AVERAGE(C9:C12)</f>
        <v>8.4824999999999982</v>
      </c>
      <c r="D24" s="257">
        <f t="shared" si="5"/>
        <v>8.5274999999999999</v>
      </c>
      <c r="E24" s="257">
        <f t="shared" si="5"/>
        <v>8.5924999999999994</v>
      </c>
      <c r="F24" s="257">
        <f t="shared" si="5"/>
        <v>7.9349999999999996</v>
      </c>
      <c r="G24" s="257">
        <f t="shared" si="5"/>
        <v>7.9525000000000006</v>
      </c>
      <c r="H24" s="257">
        <f t="shared" si="5"/>
        <v>8.4049999999999994</v>
      </c>
      <c r="I24" s="257">
        <f t="shared" si="5"/>
        <v>8.5175000000000001</v>
      </c>
      <c r="J24" s="257">
        <f t="shared" si="5"/>
        <v>7.9249999999999998</v>
      </c>
      <c r="K24" s="257">
        <f t="shared" si="5"/>
        <v>8.0924999999999994</v>
      </c>
      <c r="L24" s="257">
        <f t="shared" si="5"/>
        <v>8.2949999999999999</v>
      </c>
      <c r="M24" s="257">
        <f t="shared" si="5"/>
        <v>8.0849999999999991</v>
      </c>
      <c r="N24" s="257">
        <f t="shared" si="5"/>
        <v>8.35</v>
      </c>
      <c r="O24" s="257">
        <f t="shared" si="5"/>
        <v>8.4725000000000001</v>
      </c>
      <c r="P24" s="257">
        <f t="shared" si="5"/>
        <v>7.6</v>
      </c>
      <c r="Q24" s="1072">
        <f>AVERAGE(Q9:Q12)</f>
        <v>8.2636666666666656</v>
      </c>
      <c r="R24" s="1072">
        <f>AVERAGE(R9:R12)</f>
        <v>8.7324999999999999</v>
      </c>
      <c r="S24" s="1072">
        <f>AVERAGE(S9:S12)</f>
        <v>8.2199999999999989</v>
      </c>
    </row>
    <row r="25" spans="1:19">
      <c r="A25" s="118" t="s">
        <v>305</v>
      </c>
      <c r="B25" s="257">
        <f>AVERAGE(B9:B23)</f>
        <v>8.6666666666666661</v>
      </c>
      <c r="C25" s="257">
        <f t="shared" ref="C25:P25" si="6">AVERAGE(C9:C23)</f>
        <v>8.2080000000000002</v>
      </c>
      <c r="D25" s="257">
        <f t="shared" si="6"/>
        <v>8.3307142857142846</v>
      </c>
      <c r="E25" s="257">
        <f t="shared" si="6"/>
        <v>8.407692307692308</v>
      </c>
      <c r="F25" s="257">
        <f t="shared" si="6"/>
        <v>7.8521428571428578</v>
      </c>
      <c r="G25" s="257">
        <f t="shared" si="6"/>
        <v>7.8457142857142861</v>
      </c>
      <c r="H25" s="257">
        <f t="shared" si="6"/>
        <v>8.1428571428571423</v>
      </c>
      <c r="I25" s="257">
        <f t="shared" si="6"/>
        <v>8.2840000000000007</v>
      </c>
      <c r="J25" s="257">
        <f t="shared" si="6"/>
        <v>7.7935714285714273</v>
      </c>
      <c r="K25" s="257">
        <f t="shared" si="6"/>
        <v>7.9207142857142836</v>
      </c>
      <c r="L25" s="257">
        <f t="shared" si="6"/>
        <v>8.1871428571428559</v>
      </c>
      <c r="M25" s="257">
        <f t="shared" si="6"/>
        <v>8.1399999999999988</v>
      </c>
      <c r="N25" s="257">
        <f t="shared" si="6"/>
        <v>8.2353846153846142</v>
      </c>
      <c r="O25" s="257">
        <f t="shared" si="6"/>
        <v>8.4146153846153862</v>
      </c>
      <c r="P25" s="257">
        <f t="shared" si="6"/>
        <v>7.58</v>
      </c>
      <c r="Q25" s="1072">
        <f t="shared" ref="Q25:S25" si="7">AVERAGE(Q9:Q23)</f>
        <v>8.1057585034013613</v>
      </c>
      <c r="R25" s="1072">
        <f t="shared" si="7"/>
        <v>8.5014285714285709</v>
      </c>
      <c r="S25" s="1072">
        <f t="shared" si="7"/>
        <v>8.0820238095238075</v>
      </c>
    </row>
    <row r="26" spans="1:19" ht="15.5">
      <c r="A26" s="2301" t="s">
        <v>292</v>
      </c>
      <c r="B26" s="2302"/>
      <c r="C26" s="2302"/>
      <c r="D26" s="2302"/>
      <c r="E26" s="2302"/>
      <c r="F26" s="2302"/>
      <c r="G26" s="2302"/>
      <c r="H26" s="2302"/>
      <c r="I26" s="2302"/>
      <c r="J26" s="2302"/>
      <c r="K26" s="2302"/>
      <c r="L26" s="2302"/>
      <c r="M26" s="2302"/>
      <c r="N26" s="2302"/>
      <c r="O26" s="2302"/>
      <c r="P26" s="2302"/>
      <c r="Q26" s="2302"/>
      <c r="R26" s="2302"/>
      <c r="S26" s="2303"/>
    </row>
    <row r="27" spans="1:19">
      <c r="A27" s="118" t="s">
        <v>235</v>
      </c>
      <c r="B27" s="1083"/>
      <c r="C27" s="1083">
        <v>8.52</v>
      </c>
      <c r="D27" s="1083">
        <v>8.25</v>
      </c>
      <c r="E27" s="357">
        <v>8.57</v>
      </c>
      <c r="F27" s="357">
        <v>7.88</v>
      </c>
      <c r="G27" s="357">
        <v>8</v>
      </c>
      <c r="H27" s="357">
        <v>8.36</v>
      </c>
      <c r="I27" s="357">
        <v>8.23</v>
      </c>
      <c r="J27" s="357">
        <v>7.61</v>
      </c>
      <c r="K27" s="357">
        <v>7.81</v>
      </c>
      <c r="L27" s="357">
        <v>8.23</v>
      </c>
      <c r="M27" s="357">
        <v>8.2899999999999991</v>
      </c>
      <c r="N27" s="357">
        <v>8.14</v>
      </c>
      <c r="O27" s="357">
        <v>8.34</v>
      </c>
      <c r="P27" s="1038"/>
      <c r="Q27" s="1076">
        <f t="shared" ref="Q27:Q37" si="8">AVERAGE(B27:P27)</f>
        <v>8.1715384615384625</v>
      </c>
      <c r="R27" s="1077">
        <f t="shared" ref="R27:R37" si="9">MAX(B27:P27)</f>
        <v>8.57</v>
      </c>
      <c r="S27" s="1077">
        <f t="shared" ref="S27:S38" si="10">AVERAGE(H27:M27)</f>
        <v>8.0883333333333329</v>
      </c>
    </row>
    <row r="28" spans="1:19">
      <c r="A28" s="118" t="s">
        <v>139</v>
      </c>
      <c r="B28" s="1083"/>
      <c r="C28" s="1083">
        <v>8.5299999999999994</v>
      </c>
      <c r="D28" s="1083">
        <v>8.39</v>
      </c>
      <c r="E28" s="357">
        <v>8.58</v>
      </c>
      <c r="F28" s="357">
        <v>7.87</v>
      </c>
      <c r="G28" s="357">
        <v>7.98</v>
      </c>
      <c r="H28" s="357">
        <v>8.3000000000000007</v>
      </c>
      <c r="I28" s="357">
        <v>8.24</v>
      </c>
      <c r="J28" s="357">
        <v>7.65</v>
      </c>
      <c r="K28" s="357">
        <v>7.84</v>
      </c>
      <c r="L28" s="357">
        <v>8.3000000000000007</v>
      </c>
      <c r="M28" s="357">
        <v>8.4</v>
      </c>
      <c r="N28" s="357">
        <v>8.19</v>
      </c>
      <c r="O28" s="357">
        <v>8.34</v>
      </c>
      <c r="P28" s="1038"/>
      <c r="Q28" s="1076">
        <f t="shared" si="8"/>
        <v>8.2007692307692306</v>
      </c>
      <c r="R28" s="1077">
        <f t="shared" si="9"/>
        <v>8.58</v>
      </c>
      <c r="S28" s="1077">
        <f t="shared" si="10"/>
        <v>8.1216666666666661</v>
      </c>
    </row>
    <row r="29" spans="1:19">
      <c r="A29" s="118" t="s">
        <v>236</v>
      </c>
      <c r="B29" s="1083"/>
      <c r="C29" s="1083">
        <v>8.4700000000000006</v>
      </c>
      <c r="D29" s="1083">
        <v>8.42</v>
      </c>
      <c r="E29" s="357">
        <v>8.5500000000000007</v>
      </c>
      <c r="F29" s="357">
        <v>7.87</v>
      </c>
      <c r="G29" s="357">
        <v>7.9</v>
      </c>
      <c r="H29" s="357">
        <v>8.32</v>
      </c>
      <c r="I29" s="357">
        <v>8.24</v>
      </c>
      <c r="J29" s="357">
        <v>7.64</v>
      </c>
      <c r="K29" s="357">
        <v>7.78</v>
      </c>
      <c r="L29" s="357">
        <v>8.33</v>
      </c>
      <c r="M29" s="357">
        <v>8.4499999999999993</v>
      </c>
      <c r="N29" s="357">
        <v>8.19</v>
      </c>
      <c r="O29" s="357">
        <v>8.33</v>
      </c>
      <c r="P29" s="1038"/>
      <c r="Q29" s="1076">
        <f t="shared" si="8"/>
        <v>8.1915384615384603</v>
      </c>
      <c r="R29" s="1077">
        <f t="shared" si="9"/>
        <v>8.5500000000000007</v>
      </c>
      <c r="S29" s="1077">
        <f t="shared" si="10"/>
        <v>8.1266666666666669</v>
      </c>
    </row>
    <row r="30" spans="1:19">
      <c r="A30" s="118" t="s">
        <v>140</v>
      </c>
      <c r="B30" s="1083"/>
      <c r="C30" s="1083">
        <v>8.35</v>
      </c>
      <c r="D30" s="1083">
        <v>8.4499999999999993</v>
      </c>
      <c r="E30" s="357">
        <v>8.49</v>
      </c>
      <c r="F30" s="357">
        <v>7.86</v>
      </c>
      <c r="G30" s="357">
        <v>7.89</v>
      </c>
      <c r="H30" s="357">
        <v>8.25</v>
      </c>
      <c r="I30" s="357">
        <v>8.18</v>
      </c>
      <c r="J30" s="357">
        <v>7.81</v>
      </c>
      <c r="K30" s="357">
        <v>7.77</v>
      </c>
      <c r="L30" s="357">
        <v>8.3000000000000007</v>
      </c>
      <c r="M30" s="357">
        <v>8.4499999999999993</v>
      </c>
      <c r="N30" s="357">
        <v>8.16</v>
      </c>
      <c r="O30" s="357">
        <v>8.32</v>
      </c>
      <c r="P30" s="1038"/>
      <c r="Q30" s="1076">
        <f t="shared" si="8"/>
        <v>8.1753846153846155</v>
      </c>
      <c r="R30" s="1077">
        <f t="shared" si="9"/>
        <v>8.49</v>
      </c>
      <c r="S30" s="1077">
        <f t="shared" si="10"/>
        <v>8.1266666666666669</v>
      </c>
    </row>
    <row r="31" spans="1:19">
      <c r="A31" s="118" t="s">
        <v>237</v>
      </c>
      <c r="B31" s="1083"/>
      <c r="C31" s="1083">
        <v>8.1300000000000008</v>
      </c>
      <c r="D31" s="1083">
        <v>8.4700000000000006</v>
      </c>
      <c r="E31" s="357">
        <v>8.36</v>
      </c>
      <c r="F31" s="357">
        <v>7.84</v>
      </c>
      <c r="G31" s="357">
        <v>7.89</v>
      </c>
      <c r="H31" s="357">
        <v>8.14</v>
      </c>
      <c r="I31" s="357">
        <v>8.2100000000000009</v>
      </c>
      <c r="J31" s="357">
        <v>7.62</v>
      </c>
      <c r="K31" s="357">
        <v>7.81</v>
      </c>
      <c r="L31" s="357">
        <v>8.26</v>
      </c>
      <c r="M31" s="357">
        <v>8.44</v>
      </c>
      <c r="N31" s="357">
        <v>8.15</v>
      </c>
      <c r="O31" s="357">
        <v>8.32</v>
      </c>
      <c r="P31" s="1038"/>
      <c r="Q31" s="1076">
        <f t="shared" si="8"/>
        <v>8.1261538461538478</v>
      </c>
      <c r="R31" s="1077">
        <f t="shared" si="9"/>
        <v>8.4700000000000006</v>
      </c>
      <c r="S31" s="1077">
        <f t="shared" si="10"/>
        <v>8.08</v>
      </c>
    </row>
    <row r="32" spans="1:19">
      <c r="A32" s="118" t="s">
        <v>141</v>
      </c>
      <c r="B32" s="1090"/>
      <c r="C32" s="1083">
        <v>8.1</v>
      </c>
      <c r="D32" s="1083">
        <v>8.4700000000000006</v>
      </c>
      <c r="E32" s="357">
        <v>8.2799999999999994</v>
      </c>
      <c r="F32" s="357">
        <v>7.83</v>
      </c>
      <c r="G32" s="357">
        <v>7.85</v>
      </c>
      <c r="H32" s="357">
        <v>8.11</v>
      </c>
      <c r="I32" s="357">
        <v>8.15</v>
      </c>
      <c r="J32" s="357">
        <v>7.62</v>
      </c>
      <c r="K32" s="357">
        <v>7.8</v>
      </c>
      <c r="L32" s="357">
        <v>8.2200000000000006</v>
      </c>
      <c r="M32" s="357">
        <v>8.42</v>
      </c>
      <c r="N32" s="357">
        <v>8.1199999999999992</v>
      </c>
      <c r="O32" s="357">
        <v>8.31</v>
      </c>
      <c r="P32" s="1038"/>
      <c r="Q32" s="1076">
        <f t="shared" si="8"/>
        <v>8.0984615384615388</v>
      </c>
      <c r="R32" s="1077">
        <f t="shared" si="9"/>
        <v>8.4700000000000006</v>
      </c>
      <c r="S32" s="1077">
        <f t="shared" si="10"/>
        <v>8.0533333333333328</v>
      </c>
    </row>
    <row r="33" spans="1:19">
      <c r="A33" s="118" t="s">
        <v>238</v>
      </c>
      <c r="B33" s="1083"/>
      <c r="C33" s="1083">
        <v>8.0399999999999991</v>
      </c>
      <c r="D33" s="1083">
        <v>8.4700000000000006</v>
      </c>
      <c r="E33" s="357">
        <v>8.07</v>
      </c>
      <c r="F33" s="357">
        <v>7.83</v>
      </c>
      <c r="G33" s="357">
        <v>7.86</v>
      </c>
      <c r="H33" s="357">
        <v>8.0299999999999994</v>
      </c>
      <c r="I33" s="357">
        <v>8.1300000000000008</v>
      </c>
      <c r="J33" s="357">
        <v>7.58</v>
      </c>
      <c r="K33" s="357">
        <v>7.75</v>
      </c>
      <c r="L33" s="357">
        <v>8.19</v>
      </c>
      <c r="M33" s="357">
        <v>8.3800000000000008</v>
      </c>
      <c r="N33" s="357">
        <v>8.11</v>
      </c>
      <c r="O33" s="357">
        <v>8.3000000000000007</v>
      </c>
      <c r="P33" s="1038"/>
      <c r="Q33" s="1076">
        <f t="shared" si="8"/>
        <v>8.0569230769230771</v>
      </c>
      <c r="R33" s="1077">
        <f t="shared" si="9"/>
        <v>8.4700000000000006</v>
      </c>
      <c r="S33" s="1077">
        <f t="shared" si="10"/>
        <v>8.01</v>
      </c>
    </row>
    <row r="34" spans="1:19">
      <c r="A34" s="118" t="s">
        <v>142</v>
      </c>
      <c r="B34" s="1083"/>
      <c r="C34" s="1083">
        <v>7.98</v>
      </c>
      <c r="D34" s="1083">
        <v>8.4600000000000009</v>
      </c>
      <c r="E34" s="357">
        <v>8.02</v>
      </c>
      <c r="F34" s="357">
        <v>7.82</v>
      </c>
      <c r="G34" s="357">
        <v>7.83</v>
      </c>
      <c r="H34" s="357">
        <v>7.98</v>
      </c>
      <c r="I34" s="357">
        <v>8.1</v>
      </c>
      <c r="J34" s="357">
        <v>7.53</v>
      </c>
      <c r="K34" s="357">
        <v>7.8</v>
      </c>
      <c r="L34" s="357">
        <v>8.18</v>
      </c>
      <c r="M34" s="357">
        <v>8.3800000000000008</v>
      </c>
      <c r="N34" s="357">
        <v>8.0399999999999991</v>
      </c>
      <c r="O34" s="357">
        <v>8.31</v>
      </c>
      <c r="P34" s="1038"/>
      <c r="Q34" s="1076">
        <f t="shared" si="8"/>
        <v>8.0330769230769228</v>
      </c>
      <c r="R34" s="1077">
        <f t="shared" si="9"/>
        <v>8.4600000000000009</v>
      </c>
      <c r="S34" s="1077">
        <f t="shared" si="10"/>
        <v>7.995000000000001</v>
      </c>
    </row>
    <row r="35" spans="1:19">
      <c r="A35" s="118" t="s">
        <v>143</v>
      </c>
      <c r="B35" s="1083"/>
      <c r="C35" s="1083">
        <v>7.93</v>
      </c>
      <c r="D35" s="1083"/>
      <c r="E35" s="357">
        <v>8</v>
      </c>
      <c r="F35" s="357">
        <v>7.81</v>
      </c>
      <c r="G35" s="357">
        <v>7.83</v>
      </c>
      <c r="H35" s="357">
        <v>7.91</v>
      </c>
      <c r="I35" s="357">
        <v>8.0399999999999991</v>
      </c>
      <c r="J35" s="357">
        <v>7.63</v>
      </c>
      <c r="K35" s="357">
        <v>7.75</v>
      </c>
      <c r="L35" s="357">
        <v>8.14</v>
      </c>
      <c r="M35" s="357">
        <v>8.49</v>
      </c>
      <c r="N35" s="357">
        <v>8.02</v>
      </c>
      <c r="O35" s="357">
        <v>8.2899999999999991</v>
      </c>
      <c r="P35" s="1038"/>
      <c r="Q35" s="1076">
        <f t="shared" si="8"/>
        <v>7.9866666666666672</v>
      </c>
      <c r="R35" s="1077">
        <f t="shared" si="9"/>
        <v>8.49</v>
      </c>
      <c r="S35" s="1077">
        <f t="shared" si="10"/>
        <v>7.9933333333333332</v>
      </c>
    </row>
    <row r="36" spans="1:19">
      <c r="A36" s="118" t="s">
        <v>144</v>
      </c>
      <c r="B36" s="1083"/>
      <c r="C36" s="1083">
        <v>7.87</v>
      </c>
      <c r="D36" s="1083"/>
      <c r="E36" s="357"/>
      <c r="F36" s="357">
        <v>7.81</v>
      </c>
      <c r="G36" s="357">
        <v>7.82</v>
      </c>
      <c r="H36" s="357">
        <v>7.86</v>
      </c>
      <c r="I36" s="357">
        <v>7.97</v>
      </c>
      <c r="J36" s="357">
        <v>7.55</v>
      </c>
      <c r="K36" s="357">
        <v>7.77</v>
      </c>
      <c r="L36" s="357">
        <v>8.1300000000000008</v>
      </c>
      <c r="M36" s="357">
        <v>8.49</v>
      </c>
      <c r="N36" s="357">
        <v>8.02</v>
      </c>
      <c r="O36" s="357">
        <v>8.2799999999999994</v>
      </c>
      <c r="P36" s="1038"/>
      <c r="Q36" s="1076">
        <f t="shared" si="8"/>
        <v>7.96090909090909</v>
      </c>
      <c r="R36" s="1077">
        <f t="shared" si="9"/>
        <v>8.49</v>
      </c>
      <c r="S36" s="1077">
        <f t="shared" si="10"/>
        <v>7.9616666666666669</v>
      </c>
    </row>
    <row r="37" spans="1:19">
      <c r="A37" s="118" t="s">
        <v>145</v>
      </c>
      <c r="B37" s="1083"/>
      <c r="C37" s="1083"/>
      <c r="D37" s="1083"/>
      <c r="E37" s="357"/>
      <c r="F37" s="357"/>
      <c r="G37" s="357">
        <v>7.77</v>
      </c>
      <c r="H37" s="357">
        <v>7.85</v>
      </c>
      <c r="I37" s="357"/>
      <c r="J37" s="357">
        <v>7.52</v>
      </c>
      <c r="K37" s="357">
        <v>7.78</v>
      </c>
      <c r="L37" s="357">
        <v>8.1199999999999992</v>
      </c>
      <c r="M37" s="357">
        <v>8.42</v>
      </c>
      <c r="N37" s="357">
        <v>7.99</v>
      </c>
      <c r="O37" s="357">
        <v>8.27</v>
      </c>
      <c r="P37" s="1038"/>
      <c r="Q37" s="1076">
        <f t="shared" si="8"/>
        <v>7.9649999999999999</v>
      </c>
      <c r="R37" s="1077">
        <f t="shared" si="9"/>
        <v>8.42</v>
      </c>
      <c r="S37" s="1077">
        <f t="shared" si="10"/>
        <v>7.9379999999999997</v>
      </c>
    </row>
    <row r="38" spans="1:19">
      <c r="A38" s="118" t="s">
        <v>146</v>
      </c>
      <c r="B38" s="1083"/>
      <c r="C38" s="1083"/>
      <c r="D38" s="1083"/>
      <c r="E38" s="357"/>
      <c r="F38" s="357"/>
      <c r="G38" s="357">
        <v>7.71</v>
      </c>
      <c r="H38" s="357">
        <v>7.78</v>
      </c>
      <c r="I38" s="357"/>
      <c r="J38" s="357">
        <v>7.5</v>
      </c>
      <c r="K38" s="357">
        <v>7.74</v>
      </c>
      <c r="L38" s="357"/>
      <c r="M38" s="357">
        <v>8.3000000000000007</v>
      </c>
      <c r="N38" s="357"/>
      <c r="O38" s="357"/>
      <c r="P38" s="1038"/>
      <c r="Q38" s="1076">
        <f>AVERAGE(B38:O38)</f>
        <v>7.806</v>
      </c>
      <c r="R38" s="1077">
        <f>MAX(B38:O38)</f>
        <v>8.3000000000000007</v>
      </c>
      <c r="S38" s="1077">
        <f t="shared" si="10"/>
        <v>7.830000000000001</v>
      </c>
    </row>
    <row r="39" spans="1:19">
      <c r="A39" s="118" t="s">
        <v>304</v>
      </c>
      <c r="B39" s="257"/>
      <c r="C39" s="257">
        <f>AVERAGE(C27:C30)</f>
        <v>8.4674999999999994</v>
      </c>
      <c r="D39" s="257">
        <f t="shared" ref="D39:O39" si="11">AVERAGE(D27:D30)</f>
        <v>8.3775000000000013</v>
      </c>
      <c r="E39" s="257">
        <f t="shared" si="11"/>
        <v>8.5474999999999994</v>
      </c>
      <c r="F39" s="257">
        <f t="shared" si="11"/>
        <v>7.87</v>
      </c>
      <c r="G39" s="257">
        <f t="shared" si="11"/>
        <v>7.9425000000000008</v>
      </c>
      <c r="H39" s="257">
        <f t="shared" si="11"/>
        <v>8.307500000000001</v>
      </c>
      <c r="I39" s="257">
        <f t="shared" si="11"/>
        <v>8.2225000000000001</v>
      </c>
      <c r="J39" s="257">
        <f t="shared" si="11"/>
        <v>7.6775000000000002</v>
      </c>
      <c r="K39" s="257">
        <f t="shared" si="11"/>
        <v>7.8</v>
      </c>
      <c r="L39" s="257">
        <f t="shared" si="11"/>
        <v>8.2899999999999991</v>
      </c>
      <c r="M39" s="257">
        <f t="shared" si="11"/>
        <v>8.3974999999999991</v>
      </c>
      <c r="N39" s="257">
        <f t="shared" si="11"/>
        <v>8.1699999999999982</v>
      </c>
      <c r="O39" s="257">
        <f t="shared" si="11"/>
        <v>8.3324999999999996</v>
      </c>
      <c r="P39" s="257"/>
      <c r="Q39" s="1072">
        <f>AVERAGE(Q27:Q30)</f>
        <v>8.1848076923076931</v>
      </c>
      <c r="R39" s="1072">
        <f>AVERAGE(R27:R30)</f>
        <v>8.5474999999999994</v>
      </c>
      <c r="S39" s="1072">
        <f>AVERAGE(S27:S30)</f>
        <v>8.1158333333333328</v>
      </c>
    </row>
    <row r="40" spans="1:19">
      <c r="A40" s="118" t="s">
        <v>305</v>
      </c>
      <c r="B40" s="257"/>
      <c r="C40" s="257">
        <f>AVERAGE(C27:C38)</f>
        <v>8.1920000000000019</v>
      </c>
      <c r="D40" s="257">
        <f t="shared" ref="D40:O40" si="12">AVERAGE(D27:D38)</f>
        <v>8.4224999999999994</v>
      </c>
      <c r="E40" s="257">
        <f t="shared" si="12"/>
        <v>8.3244444444444454</v>
      </c>
      <c r="F40" s="257">
        <f t="shared" si="12"/>
        <v>7.8420000000000005</v>
      </c>
      <c r="G40" s="257">
        <f t="shared" si="12"/>
        <v>7.860833333333332</v>
      </c>
      <c r="H40" s="257">
        <f t="shared" si="12"/>
        <v>8.0741666666666667</v>
      </c>
      <c r="I40" s="257">
        <f t="shared" si="12"/>
        <v>8.1490000000000009</v>
      </c>
      <c r="J40" s="257">
        <f t="shared" si="12"/>
        <v>7.6049999999999995</v>
      </c>
      <c r="K40" s="257">
        <f t="shared" si="12"/>
        <v>7.7833333333333314</v>
      </c>
      <c r="L40" s="257">
        <f t="shared" si="12"/>
        <v>8.2181818181818169</v>
      </c>
      <c r="M40" s="257">
        <f t="shared" si="12"/>
        <v>8.4091666666666658</v>
      </c>
      <c r="N40" s="257">
        <f t="shared" si="12"/>
        <v>8.1027272727272717</v>
      </c>
      <c r="O40" s="257">
        <f t="shared" si="12"/>
        <v>8.31</v>
      </c>
      <c r="P40" s="257"/>
      <c r="Q40" s="1072">
        <f>AVERAGE(Q27:Q38)</f>
        <v>8.0643684926184935</v>
      </c>
      <c r="R40" s="1072">
        <f>AVERAGE(R27:R38)</f>
        <v>8.4799999999999986</v>
      </c>
      <c r="S40" s="1072">
        <f>AVERAGE(S27:S38)</f>
        <v>8.0270555555555561</v>
      </c>
    </row>
    <row r="41" spans="1:19" ht="15.5">
      <c r="A41" s="2301" t="s">
        <v>293</v>
      </c>
      <c r="B41" s="2302"/>
      <c r="C41" s="2302"/>
      <c r="D41" s="2302"/>
      <c r="E41" s="2302"/>
      <c r="F41" s="2302"/>
      <c r="G41" s="2302"/>
      <c r="H41" s="2302"/>
      <c r="I41" s="2302"/>
      <c r="J41" s="2302"/>
      <c r="K41" s="2302"/>
      <c r="L41" s="2302"/>
      <c r="M41" s="2302"/>
      <c r="N41" s="2302"/>
      <c r="O41" s="2302"/>
      <c r="P41" s="2302"/>
      <c r="Q41" s="2302"/>
      <c r="R41" s="2302"/>
      <c r="S41" s="2303"/>
    </row>
    <row r="42" spans="1:19">
      <c r="A42" s="118" t="s">
        <v>235</v>
      </c>
      <c r="B42" s="257"/>
      <c r="C42" s="257">
        <v>8.35</v>
      </c>
      <c r="D42" s="257">
        <v>8.5500000000000007</v>
      </c>
      <c r="E42" s="357">
        <v>8.44</v>
      </c>
      <c r="F42" s="357">
        <v>7.81</v>
      </c>
      <c r="G42" s="357">
        <v>7.85</v>
      </c>
      <c r="H42" s="357">
        <v>8.08</v>
      </c>
      <c r="I42" s="357">
        <v>8.06</v>
      </c>
      <c r="J42" s="357">
        <v>7.52</v>
      </c>
      <c r="K42" s="357">
        <v>7.72</v>
      </c>
      <c r="L42" s="357">
        <v>8.0500000000000007</v>
      </c>
      <c r="M42" s="357">
        <v>8.39</v>
      </c>
      <c r="N42" s="357">
        <v>8.15</v>
      </c>
      <c r="O42" s="357">
        <v>8.2799999999999994</v>
      </c>
      <c r="P42" s="1038"/>
      <c r="Q42" s="1076">
        <f t="shared" ref="Q42:Q50" si="13">AVERAGE(B42:P42)</f>
        <v>8.0961538461538467</v>
      </c>
      <c r="R42" s="1077">
        <f t="shared" ref="R42:R50" si="14">MAX(B42:P42)</f>
        <v>8.5500000000000007</v>
      </c>
      <c r="S42" s="1077">
        <f t="shared" ref="S42:S50" si="15">AVERAGE(H42:M42)</f>
        <v>7.97</v>
      </c>
    </row>
    <row r="43" spans="1:19">
      <c r="A43" s="118" t="s">
        <v>139</v>
      </c>
      <c r="B43" s="257"/>
      <c r="C43" s="257">
        <v>8.34</v>
      </c>
      <c r="D43" s="257">
        <v>8.57</v>
      </c>
      <c r="E43" s="357">
        <v>8.49</v>
      </c>
      <c r="F43" s="357">
        <v>7.81</v>
      </c>
      <c r="G43" s="357">
        <v>7.88</v>
      </c>
      <c r="H43" s="357">
        <v>8.1300000000000008</v>
      </c>
      <c r="I43" s="357">
        <v>8.0299999999999994</v>
      </c>
      <c r="J43" s="357">
        <v>7.55</v>
      </c>
      <c r="K43" s="357">
        <v>7.74</v>
      </c>
      <c r="L43" s="357">
        <v>8.1</v>
      </c>
      <c r="M43" s="357">
        <v>8.4700000000000006</v>
      </c>
      <c r="N43" s="357">
        <v>8.1199999999999992</v>
      </c>
      <c r="O43" s="357">
        <v>8.32</v>
      </c>
      <c r="P43" s="1038"/>
      <c r="Q43" s="1076">
        <f t="shared" si="13"/>
        <v>8.1192307692307697</v>
      </c>
      <c r="R43" s="1077">
        <f t="shared" si="14"/>
        <v>8.57</v>
      </c>
      <c r="S43" s="1077">
        <f t="shared" si="15"/>
        <v>8.0033333333333339</v>
      </c>
    </row>
    <row r="44" spans="1:19">
      <c r="A44" s="118" t="s">
        <v>236</v>
      </c>
      <c r="B44" s="257"/>
      <c r="C44" s="257">
        <v>8.3000000000000007</v>
      </c>
      <c r="D44" s="257">
        <v>8.5500000000000007</v>
      </c>
      <c r="E44" s="357">
        <v>8.51</v>
      </c>
      <c r="F44" s="357">
        <v>7.84</v>
      </c>
      <c r="G44" s="357">
        <v>7.88</v>
      </c>
      <c r="H44" s="357">
        <v>8.11</v>
      </c>
      <c r="I44" s="357">
        <v>8.0299999999999994</v>
      </c>
      <c r="J44" s="357">
        <v>7.54</v>
      </c>
      <c r="K44" s="357">
        <v>7.74</v>
      </c>
      <c r="L44" s="357">
        <v>8.15</v>
      </c>
      <c r="M44" s="357">
        <v>8.5</v>
      </c>
      <c r="N44" s="357">
        <v>8.09</v>
      </c>
      <c r="O44" s="357">
        <v>8.2799999999999994</v>
      </c>
      <c r="P44" s="1038"/>
      <c r="Q44" s="1076">
        <f t="shared" si="13"/>
        <v>8.1169230769230776</v>
      </c>
      <c r="R44" s="1077">
        <f t="shared" si="14"/>
        <v>8.5500000000000007</v>
      </c>
      <c r="S44" s="1077">
        <f t="shared" si="15"/>
        <v>8.0116666666666667</v>
      </c>
    </row>
    <row r="45" spans="1:19">
      <c r="A45" s="118" t="s">
        <v>140</v>
      </c>
      <c r="B45" s="257"/>
      <c r="C45" s="257">
        <v>8.26</v>
      </c>
      <c r="D45" s="257">
        <v>8.5500000000000007</v>
      </c>
      <c r="E45" s="357">
        <v>8.56</v>
      </c>
      <c r="F45" s="357">
        <v>7.83</v>
      </c>
      <c r="G45" s="357">
        <v>7.85</v>
      </c>
      <c r="H45" s="357">
        <v>8.11</v>
      </c>
      <c r="I45" s="357">
        <v>8.02</v>
      </c>
      <c r="J45" s="357">
        <v>7.53</v>
      </c>
      <c r="K45" s="357">
        <v>7.76</v>
      </c>
      <c r="L45" s="357">
        <v>8.16</v>
      </c>
      <c r="M45" s="357">
        <v>8.51</v>
      </c>
      <c r="N45" s="357">
        <v>8.06</v>
      </c>
      <c r="O45" s="357">
        <v>8.26</v>
      </c>
      <c r="P45" s="1038"/>
      <c r="Q45" s="1076">
        <f t="shared" si="13"/>
        <v>8.1123076923076933</v>
      </c>
      <c r="R45" s="1077">
        <f t="shared" si="14"/>
        <v>8.56</v>
      </c>
      <c r="S45" s="1077">
        <f t="shared" si="15"/>
        <v>8.0149999999999988</v>
      </c>
    </row>
    <row r="46" spans="1:19">
      <c r="A46" s="118" t="s">
        <v>237</v>
      </c>
      <c r="B46" s="257"/>
      <c r="C46" s="257">
        <v>8.19</v>
      </c>
      <c r="D46" s="257">
        <v>8.5500000000000007</v>
      </c>
      <c r="E46" s="357">
        <v>8.57</v>
      </c>
      <c r="F46" s="357">
        <v>7.82</v>
      </c>
      <c r="G46" s="357">
        <v>7.82</v>
      </c>
      <c r="H46" s="357">
        <v>8.09</v>
      </c>
      <c r="I46" s="357">
        <v>8.02</v>
      </c>
      <c r="J46" s="357">
        <v>7.51</v>
      </c>
      <c r="K46" s="357">
        <v>7.71</v>
      </c>
      <c r="L46" s="357">
        <v>8.09</v>
      </c>
      <c r="M46" s="357">
        <v>8.51</v>
      </c>
      <c r="N46" s="357">
        <v>8.07</v>
      </c>
      <c r="O46" s="357">
        <v>8.25</v>
      </c>
      <c r="P46" s="1038"/>
      <c r="Q46" s="1076">
        <f t="shared" si="13"/>
        <v>8.0923076923076938</v>
      </c>
      <c r="R46" s="1077">
        <f t="shared" si="14"/>
        <v>8.57</v>
      </c>
      <c r="S46" s="1077">
        <f t="shared" si="15"/>
        <v>7.9883333333333333</v>
      </c>
    </row>
    <row r="47" spans="1:19">
      <c r="A47" s="118" t="s">
        <v>141</v>
      </c>
      <c r="B47" s="257"/>
      <c r="C47" s="257">
        <v>8.02</v>
      </c>
      <c r="D47" s="257">
        <v>8.52</v>
      </c>
      <c r="E47" s="357">
        <v>8.43</v>
      </c>
      <c r="F47" s="357">
        <v>7.8</v>
      </c>
      <c r="G47" s="357">
        <v>7.66</v>
      </c>
      <c r="H47" s="357">
        <v>8.0399999999999991</v>
      </c>
      <c r="I47" s="357">
        <v>7.99</v>
      </c>
      <c r="J47" s="357">
        <v>7.48</v>
      </c>
      <c r="K47" s="357">
        <v>7.73</v>
      </c>
      <c r="L47" s="357">
        <v>8.07</v>
      </c>
      <c r="M47" s="357">
        <v>8.5</v>
      </c>
      <c r="N47" s="357">
        <v>8.0500000000000007</v>
      </c>
      <c r="O47" s="357">
        <v>8.25</v>
      </c>
      <c r="P47" s="1038"/>
      <c r="Q47" s="1076">
        <f t="shared" si="13"/>
        <v>8.0415384615384617</v>
      </c>
      <c r="R47" s="1077">
        <f t="shared" si="14"/>
        <v>8.52</v>
      </c>
      <c r="S47" s="1077">
        <f t="shared" si="15"/>
        <v>7.9683333333333337</v>
      </c>
    </row>
    <row r="48" spans="1:19">
      <c r="A48" s="118" t="s">
        <v>238</v>
      </c>
      <c r="B48" s="257"/>
      <c r="C48" s="257">
        <v>7.89</v>
      </c>
      <c r="D48" s="257">
        <v>8.51</v>
      </c>
      <c r="E48" s="357">
        <v>8.31</v>
      </c>
      <c r="F48" s="357">
        <v>7.82</v>
      </c>
      <c r="G48" s="357">
        <v>7.8</v>
      </c>
      <c r="H48" s="357">
        <v>7.98</v>
      </c>
      <c r="I48" s="357">
        <v>7.97</v>
      </c>
      <c r="J48" s="357">
        <v>7.48</v>
      </c>
      <c r="K48" s="357">
        <v>7.73</v>
      </c>
      <c r="L48" s="357">
        <v>8.08</v>
      </c>
      <c r="M48" s="357">
        <v>8.5</v>
      </c>
      <c r="N48" s="357">
        <v>8.02</v>
      </c>
      <c r="O48" s="357">
        <v>8.23</v>
      </c>
      <c r="P48" s="1038"/>
      <c r="Q48" s="1076">
        <f t="shared" si="13"/>
        <v>8.0246153846153856</v>
      </c>
      <c r="R48" s="1077">
        <f t="shared" si="14"/>
        <v>8.51</v>
      </c>
      <c r="S48" s="1077">
        <f t="shared" si="15"/>
        <v>7.956666666666667</v>
      </c>
    </row>
    <row r="49" spans="1:19">
      <c r="A49" s="118" t="s">
        <v>142</v>
      </c>
      <c r="B49" s="257"/>
      <c r="C49" s="257">
        <v>7.84</v>
      </c>
      <c r="D49" s="257">
        <v>8.51</v>
      </c>
      <c r="E49" s="357">
        <v>8.2200000000000006</v>
      </c>
      <c r="F49" s="357">
        <v>7.81</v>
      </c>
      <c r="G49" s="357">
        <v>7.84</v>
      </c>
      <c r="H49" s="357">
        <v>7.94</v>
      </c>
      <c r="I49" s="357">
        <v>7.99</v>
      </c>
      <c r="J49" s="357">
        <v>7.5</v>
      </c>
      <c r="K49" s="357">
        <v>7.72</v>
      </c>
      <c r="L49" s="357">
        <v>8.0500000000000007</v>
      </c>
      <c r="M49" s="357">
        <v>8.49</v>
      </c>
      <c r="N49" s="357">
        <v>8.01</v>
      </c>
      <c r="O49" s="357">
        <v>8.2200000000000006</v>
      </c>
      <c r="P49" s="1038"/>
      <c r="Q49" s="1076">
        <f t="shared" si="13"/>
        <v>8.0107692307692311</v>
      </c>
      <c r="R49" s="1077">
        <f t="shared" si="14"/>
        <v>8.51</v>
      </c>
      <c r="S49" s="1077">
        <f t="shared" si="15"/>
        <v>7.9483333333333341</v>
      </c>
    </row>
    <row r="50" spans="1:19">
      <c r="A50" s="118" t="s">
        <v>143</v>
      </c>
      <c r="B50" s="257"/>
      <c r="C50" s="257">
        <v>7.8</v>
      </c>
      <c r="D50" s="257"/>
      <c r="E50" s="357">
        <v>8.1999999999999993</v>
      </c>
      <c r="F50" s="357">
        <v>7.81</v>
      </c>
      <c r="G50" s="357">
        <v>7.83</v>
      </c>
      <c r="H50" s="357">
        <v>7.91</v>
      </c>
      <c r="I50" s="357">
        <v>7.99</v>
      </c>
      <c r="J50" s="357">
        <v>7.49</v>
      </c>
      <c r="K50" s="357">
        <v>7.72</v>
      </c>
      <c r="L50" s="357">
        <v>8.0399999999999991</v>
      </c>
      <c r="M50" s="357">
        <v>8.4499999999999993</v>
      </c>
      <c r="N50" s="357"/>
      <c r="O50" s="357"/>
      <c r="P50" s="1038"/>
      <c r="Q50" s="1076">
        <f t="shared" si="13"/>
        <v>7.9239999999999995</v>
      </c>
      <c r="R50" s="1077">
        <f t="shared" si="14"/>
        <v>8.4499999999999993</v>
      </c>
      <c r="S50" s="1077">
        <f t="shared" si="15"/>
        <v>7.9333333333333327</v>
      </c>
    </row>
    <row r="51" spans="1:19">
      <c r="A51" s="118" t="s">
        <v>304</v>
      </c>
      <c r="B51" s="257"/>
      <c r="C51" s="257">
        <f>AVERAGE(C42:C45)</f>
        <v>8.3125</v>
      </c>
      <c r="D51" s="257">
        <f t="shared" ref="D51:O51" si="16">AVERAGE(D42:D45)</f>
        <v>8.5549999999999997</v>
      </c>
      <c r="E51" s="257">
        <f t="shared" si="16"/>
        <v>8.5</v>
      </c>
      <c r="F51" s="257">
        <f t="shared" si="16"/>
        <v>7.8224999999999998</v>
      </c>
      <c r="G51" s="257">
        <f t="shared" si="16"/>
        <v>7.8650000000000002</v>
      </c>
      <c r="H51" s="257">
        <f t="shared" si="16"/>
        <v>8.1074999999999999</v>
      </c>
      <c r="I51" s="257">
        <f t="shared" si="16"/>
        <v>8.0350000000000001</v>
      </c>
      <c r="J51" s="257">
        <f t="shared" si="16"/>
        <v>7.5350000000000001</v>
      </c>
      <c r="K51" s="257">
        <f t="shared" si="16"/>
        <v>7.74</v>
      </c>
      <c r="L51" s="257">
        <f t="shared" si="16"/>
        <v>8.1149999999999984</v>
      </c>
      <c r="M51" s="257">
        <f t="shared" si="16"/>
        <v>8.4674999999999994</v>
      </c>
      <c r="N51" s="257">
        <f t="shared" si="16"/>
        <v>8.1050000000000004</v>
      </c>
      <c r="O51" s="257">
        <f t="shared" si="16"/>
        <v>8.2850000000000001</v>
      </c>
      <c r="P51" s="257"/>
      <c r="Q51" s="1072">
        <f>AVERAGE(Q42:Q45)</f>
        <v>8.1111538461538473</v>
      </c>
      <c r="R51" s="1072">
        <f>AVERAGE(R42:R45)</f>
        <v>8.557500000000001</v>
      </c>
      <c r="S51" s="1072">
        <f>AVERAGE(S42:S45)</f>
        <v>8</v>
      </c>
    </row>
    <row r="52" spans="1:19">
      <c r="A52" s="118" t="s">
        <v>302</v>
      </c>
      <c r="B52" s="257"/>
      <c r="C52" s="257">
        <f>AVERAGE(C42:C50)</f>
        <v>8.11</v>
      </c>
      <c r="D52" s="257">
        <f t="shared" ref="D52:N52" si="17">AVERAGE(D42:D50)</f>
        <v>8.5387499999999985</v>
      </c>
      <c r="E52" s="257">
        <f t="shared" si="17"/>
        <v>8.4144444444444453</v>
      </c>
      <c r="F52" s="257">
        <f t="shared" si="17"/>
        <v>7.8166666666666664</v>
      </c>
      <c r="G52" s="257">
        <f t="shared" si="17"/>
        <v>7.8233333333333333</v>
      </c>
      <c r="H52" s="257">
        <f t="shared" si="17"/>
        <v>8.0433333333333312</v>
      </c>
      <c r="I52" s="257">
        <f t="shared" si="17"/>
        <v>8.0111111111111111</v>
      </c>
      <c r="J52" s="257">
        <f t="shared" si="17"/>
        <v>7.5111111111111102</v>
      </c>
      <c r="K52" s="257">
        <f t="shared" si="17"/>
        <v>7.73</v>
      </c>
      <c r="L52" s="257">
        <f t="shared" si="17"/>
        <v>8.0877777777777773</v>
      </c>
      <c r="M52" s="257">
        <f t="shared" si="17"/>
        <v>8.4799999999999986</v>
      </c>
      <c r="N52" s="257">
        <f t="shared" si="17"/>
        <v>8.0712500000000009</v>
      </c>
      <c r="O52" s="257">
        <f t="shared" ref="O52" si="18">AVERAGE(O42:O50)</f>
        <v>8.2612500000000004</v>
      </c>
      <c r="P52" s="257"/>
      <c r="Q52" s="1072">
        <f>AVERAGE(Q42:Q50)</f>
        <v>8.0597606837606826</v>
      </c>
      <c r="R52" s="1072">
        <f>AVERAGE(R42:R50)</f>
        <v>8.5322222222222237</v>
      </c>
      <c r="S52" s="1072">
        <f>AVERAGE(S42:S50)</f>
        <v>7.9772222222222222</v>
      </c>
    </row>
    <row r="53" spans="1:19" ht="15.5">
      <c r="A53" s="2240"/>
      <c r="B53" s="2240"/>
      <c r="C53" s="2240"/>
      <c r="D53" s="2240"/>
      <c r="E53" s="2240"/>
      <c r="F53" s="2240"/>
      <c r="G53" s="2240"/>
      <c r="H53" s="2240"/>
      <c r="I53" s="2240"/>
      <c r="J53" s="2240"/>
      <c r="K53" s="2240"/>
      <c r="L53" s="2240"/>
      <c r="M53" s="2240"/>
      <c r="N53" s="2240"/>
      <c r="O53" s="2240"/>
      <c r="P53" s="2240"/>
      <c r="Q53" s="2240"/>
      <c r="R53" s="2240"/>
      <c r="S53" s="2240"/>
    </row>
    <row r="54" spans="1:19">
      <c r="A54" s="80"/>
      <c r="B54" s="471"/>
      <c r="C54" s="471"/>
      <c r="D54" s="471"/>
      <c r="E54" s="472"/>
      <c r="F54" s="472"/>
      <c r="G54" s="472"/>
      <c r="H54" s="472"/>
      <c r="I54" s="472"/>
      <c r="J54" s="472"/>
      <c r="K54" s="472"/>
      <c r="L54" s="472"/>
      <c r="M54" s="472"/>
      <c r="N54" s="472"/>
      <c r="O54" s="472"/>
      <c r="P54" s="472"/>
      <c r="Q54" s="473"/>
      <c r="R54" s="473"/>
      <c r="S54" s="473"/>
    </row>
    <row r="55" spans="1:19">
      <c r="A55" s="80"/>
      <c r="B55" s="471"/>
      <c r="C55" s="471"/>
      <c r="D55" s="471"/>
      <c r="E55" s="472"/>
      <c r="F55" s="472"/>
      <c r="G55" s="472"/>
      <c r="H55" s="472"/>
      <c r="I55" s="472"/>
      <c r="J55" s="472"/>
      <c r="K55" s="472"/>
      <c r="L55" s="472"/>
      <c r="M55" s="472"/>
      <c r="N55" s="472"/>
      <c r="O55" s="472"/>
      <c r="P55" s="472"/>
      <c r="Q55" s="473"/>
      <c r="R55" s="473"/>
      <c r="S55" s="473"/>
    </row>
    <row r="56" spans="1:19">
      <c r="A56" s="80"/>
      <c r="B56" s="471"/>
      <c r="C56" s="471"/>
      <c r="D56" s="471"/>
      <c r="E56" s="472"/>
      <c r="F56" s="472"/>
      <c r="G56" s="472"/>
      <c r="H56" s="472"/>
      <c r="I56" s="472"/>
      <c r="J56" s="472"/>
      <c r="K56" s="472"/>
      <c r="L56" s="472"/>
      <c r="M56" s="472"/>
      <c r="N56" s="472"/>
      <c r="O56" s="472"/>
      <c r="P56" s="472"/>
      <c r="Q56" s="473"/>
      <c r="R56" s="473"/>
      <c r="S56" s="473"/>
    </row>
    <row r="57" spans="1:19">
      <c r="A57" s="80"/>
      <c r="B57" s="471"/>
      <c r="C57" s="471"/>
      <c r="D57" s="471"/>
      <c r="E57" s="472"/>
      <c r="F57" s="472"/>
      <c r="G57" s="472"/>
      <c r="H57" s="472"/>
      <c r="I57" s="472"/>
      <c r="J57" s="472"/>
      <c r="K57" s="472"/>
      <c r="L57" s="472"/>
      <c r="M57" s="472"/>
      <c r="N57" s="472"/>
      <c r="O57" s="472"/>
      <c r="P57" s="472"/>
      <c r="Q57" s="473"/>
      <c r="R57" s="473"/>
      <c r="S57" s="473"/>
    </row>
    <row r="58" spans="1:19">
      <c r="A58" s="80"/>
      <c r="B58" s="471"/>
      <c r="C58" s="471"/>
      <c r="D58" s="471"/>
      <c r="E58" s="472"/>
      <c r="F58" s="472"/>
      <c r="G58" s="472"/>
      <c r="H58" s="472"/>
      <c r="I58" s="472"/>
      <c r="J58" s="472"/>
      <c r="K58" s="472"/>
      <c r="L58" s="472"/>
      <c r="M58" s="472"/>
      <c r="N58" s="472"/>
      <c r="O58" s="472"/>
      <c r="P58" s="472"/>
      <c r="Q58" s="473"/>
      <c r="R58" s="473"/>
      <c r="S58" s="473"/>
    </row>
    <row r="59" spans="1:19">
      <c r="A59" s="80"/>
      <c r="B59" s="471"/>
      <c r="C59" s="471"/>
      <c r="D59" s="471"/>
      <c r="E59" s="472"/>
      <c r="F59" s="472"/>
      <c r="G59" s="472"/>
      <c r="H59" s="472"/>
      <c r="I59" s="472"/>
      <c r="J59" s="472"/>
      <c r="K59" s="472"/>
      <c r="L59" s="472"/>
      <c r="M59" s="472"/>
      <c r="N59" s="472"/>
      <c r="O59" s="472"/>
      <c r="P59" s="472"/>
      <c r="Q59" s="473"/>
      <c r="R59" s="473"/>
      <c r="S59" s="473"/>
    </row>
    <row r="60" spans="1:19">
      <c r="A60" s="80"/>
      <c r="B60" s="471"/>
      <c r="C60" s="471"/>
      <c r="D60" s="471"/>
      <c r="E60" s="472"/>
      <c r="F60" s="472"/>
      <c r="G60" s="472"/>
      <c r="H60" s="472"/>
      <c r="I60" s="472"/>
      <c r="J60" s="472"/>
      <c r="K60" s="472"/>
      <c r="L60" s="472"/>
      <c r="M60" s="472"/>
      <c r="N60" s="472"/>
      <c r="O60" s="472"/>
      <c r="P60" s="472"/>
      <c r="Q60" s="473"/>
      <c r="R60" s="473"/>
      <c r="S60" s="473"/>
    </row>
    <row r="61" spans="1:19">
      <c r="A61" s="80"/>
      <c r="B61" s="471"/>
      <c r="C61" s="471"/>
      <c r="D61" s="471"/>
      <c r="E61" s="472"/>
      <c r="F61" s="472"/>
      <c r="G61" s="472"/>
      <c r="H61" s="472"/>
      <c r="I61" s="472"/>
      <c r="J61" s="472"/>
      <c r="K61" s="472"/>
      <c r="L61" s="472"/>
      <c r="M61" s="472"/>
      <c r="N61" s="472"/>
      <c r="O61" s="472"/>
      <c r="P61" s="472"/>
      <c r="Q61" s="473"/>
      <c r="R61" s="473"/>
      <c r="S61" s="473"/>
    </row>
    <row r="62" spans="1:19">
      <c r="A62" s="80"/>
      <c r="B62" s="471"/>
      <c r="C62" s="471"/>
      <c r="D62" s="471"/>
      <c r="E62" s="472"/>
      <c r="F62" s="472"/>
      <c r="G62" s="472"/>
      <c r="H62" s="472"/>
      <c r="I62" s="472"/>
      <c r="J62" s="472"/>
      <c r="K62" s="472"/>
      <c r="L62" s="472"/>
      <c r="M62" s="472"/>
      <c r="N62" s="472"/>
      <c r="O62" s="472"/>
      <c r="P62" s="472"/>
      <c r="Q62" s="473"/>
      <c r="R62" s="473"/>
      <c r="S62" s="473"/>
    </row>
    <row r="63" spans="1:19">
      <c r="A63" s="80"/>
      <c r="B63" s="471"/>
      <c r="C63" s="471"/>
      <c r="D63" s="471"/>
      <c r="E63" s="472"/>
      <c r="F63" s="472"/>
      <c r="G63" s="472"/>
      <c r="H63" s="472"/>
      <c r="I63" s="472"/>
      <c r="J63" s="472"/>
      <c r="K63" s="472"/>
      <c r="L63" s="472"/>
      <c r="M63" s="472"/>
      <c r="N63" s="472"/>
      <c r="O63" s="472"/>
      <c r="P63" s="472"/>
      <c r="Q63" s="473"/>
      <c r="R63" s="473"/>
      <c r="S63" s="473"/>
    </row>
    <row r="64" spans="1:19">
      <c r="A64" s="80"/>
      <c r="B64" s="471"/>
      <c r="C64" s="471"/>
      <c r="D64" s="471"/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>
      <c r="A65" s="80"/>
      <c r="B65" s="472"/>
      <c r="C65" s="472"/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472"/>
      <c r="P65" s="472"/>
      <c r="Q65" s="472"/>
      <c r="R65" s="472"/>
      <c r="S65" s="472"/>
    </row>
    <row r="66" spans="1:19" ht="15.5">
      <c r="A66" s="2240"/>
      <c r="B66" s="2240"/>
      <c r="C66" s="2240"/>
      <c r="D66" s="2240"/>
      <c r="E66" s="2240"/>
      <c r="F66" s="2240"/>
      <c r="G66" s="2240"/>
      <c r="H66" s="2240"/>
      <c r="I66" s="2240"/>
      <c r="J66" s="2240"/>
      <c r="K66" s="2240"/>
      <c r="L66" s="2240"/>
      <c r="M66" s="2240"/>
      <c r="N66" s="2240"/>
      <c r="O66" s="2240"/>
      <c r="P66" s="2240"/>
      <c r="Q66" s="2240"/>
      <c r="R66" s="2240"/>
      <c r="S66" s="2240"/>
    </row>
    <row r="67" spans="1:19">
      <c r="A67" s="80"/>
      <c r="B67" s="471"/>
      <c r="C67" s="471"/>
      <c r="D67" s="471"/>
      <c r="E67" s="472"/>
      <c r="F67" s="472"/>
      <c r="G67" s="472"/>
      <c r="H67" s="472"/>
      <c r="I67" s="472"/>
      <c r="J67" s="472"/>
      <c r="K67" s="472"/>
      <c r="L67" s="472"/>
      <c r="M67" s="472"/>
      <c r="N67" s="472"/>
      <c r="O67" s="472"/>
      <c r="P67" s="472"/>
      <c r="Q67" s="473"/>
      <c r="R67" s="473"/>
      <c r="S67" s="473"/>
    </row>
    <row r="68" spans="1:19">
      <c r="A68" s="80"/>
      <c r="B68" s="471"/>
      <c r="C68" s="471"/>
      <c r="D68" s="471"/>
      <c r="E68" s="472"/>
      <c r="F68" s="472"/>
      <c r="G68" s="472"/>
      <c r="H68" s="472"/>
      <c r="I68" s="472"/>
      <c r="J68" s="472"/>
      <c r="K68" s="472"/>
      <c r="L68" s="472"/>
      <c r="M68" s="472"/>
      <c r="N68" s="472"/>
      <c r="O68" s="472"/>
      <c r="P68" s="472"/>
      <c r="Q68" s="473"/>
      <c r="R68" s="473"/>
      <c r="S68" s="473"/>
    </row>
    <row r="69" spans="1:19">
      <c r="A69" s="80"/>
      <c r="B69" s="471"/>
      <c r="C69" s="471"/>
      <c r="D69" s="471"/>
      <c r="E69" s="472"/>
      <c r="F69" s="472"/>
      <c r="G69" s="472"/>
      <c r="H69" s="472"/>
      <c r="I69" s="472"/>
      <c r="J69" s="472"/>
      <c r="K69" s="472"/>
      <c r="L69" s="472"/>
      <c r="M69" s="472"/>
      <c r="N69" s="472"/>
      <c r="O69" s="472"/>
      <c r="P69" s="472"/>
      <c r="Q69" s="473"/>
      <c r="R69" s="473"/>
      <c r="S69" s="473"/>
    </row>
    <row r="70" spans="1:19">
      <c r="A70" s="80"/>
      <c r="B70" s="471"/>
      <c r="C70" s="471"/>
      <c r="D70" s="471"/>
      <c r="E70" s="472"/>
      <c r="F70" s="472"/>
      <c r="G70" s="472"/>
      <c r="H70" s="472"/>
      <c r="I70" s="472"/>
      <c r="J70" s="472"/>
      <c r="K70" s="472"/>
      <c r="L70" s="472"/>
      <c r="M70" s="472"/>
      <c r="N70" s="472"/>
      <c r="O70" s="472"/>
      <c r="P70" s="472"/>
      <c r="Q70" s="473"/>
      <c r="R70" s="473"/>
      <c r="S70" s="473"/>
    </row>
    <row r="71" spans="1:19">
      <c r="A71" s="80"/>
      <c r="B71" s="471"/>
      <c r="C71" s="471"/>
      <c r="D71" s="471"/>
      <c r="E71" s="472"/>
      <c r="F71" s="472"/>
      <c r="G71" s="472"/>
      <c r="H71" s="472"/>
      <c r="I71" s="472"/>
      <c r="J71" s="472"/>
      <c r="K71" s="472"/>
      <c r="L71" s="472"/>
      <c r="M71" s="472"/>
      <c r="N71" s="472"/>
      <c r="O71" s="472"/>
      <c r="P71" s="472"/>
      <c r="Q71" s="473"/>
      <c r="R71" s="473"/>
      <c r="S71" s="473"/>
    </row>
    <row r="72" spans="1:19">
      <c r="A72" s="80"/>
      <c r="B72" s="471"/>
      <c r="C72" s="471"/>
      <c r="D72" s="471"/>
      <c r="E72" s="472"/>
      <c r="F72" s="472"/>
      <c r="G72" s="472"/>
      <c r="H72" s="472"/>
      <c r="I72" s="472"/>
      <c r="J72" s="472"/>
      <c r="K72" s="472"/>
      <c r="L72" s="472"/>
      <c r="M72" s="472"/>
      <c r="N72" s="472"/>
      <c r="O72" s="472"/>
      <c r="P72" s="472"/>
      <c r="Q72" s="473"/>
      <c r="R72" s="473"/>
      <c r="S72" s="473"/>
    </row>
    <row r="73" spans="1:19">
      <c r="A73" s="80"/>
      <c r="B73" s="471"/>
      <c r="C73" s="471"/>
      <c r="D73" s="471"/>
      <c r="E73" s="472"/>
      <c r="F73" s="472"/>
      <c r="G73" s="472"/>
      <c r="H73" s="472"/>
      <c r="I73" s="472"/>
      <c r="J73" s="472"/>
      <c r="K73" s="472"/>
      <c r="L73" s="472"/>
      <c r="M73" s="472"/>
      <c r="N73" s="472"/>
      <c r="O73" s="472"/>
      <c r="P73" s="472"/>
      <c r="Q73" s="473"/>
      <c r="R73" s="473"/>
      <c r="S73" s="473"/>
    </row>
    <row r="74" spans="1:19">
      <c r="A74" s="80"/>
      <c r="B74" s="471"/>
      <c r="C74" s="471"/>
      <c r="D74" s="471"/>
      <c r="E74" s="472"/>
      <c r="F74" s="472"/>
      <c r="G74" s="472"/>
      <c r="H74" s="472"/>
      <c r="I74" s="472"/>
      <c r="J74" s="472"/>
      <c r="K74" s="472"/>
      <c r="L74" s="472"/>
      <c r="M74" s="472"/>
      <c r="N74" s="472"/>
      <c r="O74" s="472"/>
      <c r="P74" s="472"/>
      <c r="Q74" s="473"/>
      <c r="R74" s="473"/>
      <c r="S74" s="473"/>
    </row>
    <row r="75" spans="1:19">
      <c r="A75" s="80"/>
      <c r="B75" s="471"/>
      <c r="C75" s="471"/>
      <c r="D75" s="471"/>
      <c r="E75" s="472"/>
      <c r="F75" s="472"/>
      <c r="G75" s="472"/>
      <c r="H75" s="472"/>
      <c r="I75" s="472"/>
      <c r="J75" s="472"/>
      <c r="K75" s="472"/>
      <c r="L75" s="472"/>
      <c r="M75" s="472"/>
      <c r="N75" s="472"/>
      <c r="O75" s="472"/>
      <c r="P75" s="472"/>
      <c r="Q75" s="473"/>
      <c r="R75" s="473"/>
      <c r="S75" s="473"/>
    </row>
    <row r="76" spans="1:19">
      <c r="A76" s="80"/>
      <c r="B76" s="471"/>
      <c r="C76" s="471"/>
      <c r="D76" s="471"/>
      <c r="E76" s="472"/>
      <c r="F76" s="472"/>
      <c r="G76" s="472"/>
      <c r="H76" s="472"/>
      <c r="I76" s="472"/>
      <c r="J76" s="472"/>
      <c r="K76" s="472"/>
      <c r="L76" s="472"/>
      <c r="M76" s="472"/>
      <c r="N76" s="472"/>
      <c r="O76" s="472"/>
      <c r="P76" s="472"/>
      <c r="Q76" s="473"/>
      <c r="R76" s="473"/>
      <c r="S76" s="473"/>
    </row>
    <row r="77" spans="1:19">
      <c r="A77" s="80"/>
      <c r="B77" s="471"/>
      <c r="C77" s="471"/>
      <c r="D77" s="471"/>
      <c r="E77" s="472"/>
      <c r="F77" s="472"/>
      <c r="G77" s="472"/>
      <c r="H77" s="472"/>
      <c r="I77" s="472"/>
      <c r="J77" s="472"/>
      <c r="K77" s="472"/>
      <c r="L77" s="472"/>
      <c r="M77" s="472"/>
      <c r="N77" s="472"/>
      <c r="O77" s="472"/>
      <c r="P77" s="472"/>
      <c r="Q77" s="473"/>
      <c r="R77" s="473"/>
      <c r="S77" s="473"/>
    </row>
    <row r="78" spans="1:19">
      <c r="A78" s="80"/>
      <c r="B78" s="471"/>
      <c r="C78" s="471"/>
      <c r="D78" s="471"/>
      <c r="E78" s="472"/>
      <c r="F78" s="472"/>
      <c r="G78" s="472"/>
      <c r="H78" s="472"/>
      <c r="I78" s="472"/>
      <c r="J78" s="472"/>
      <c r="K78" s="472"/>
      <c r="L78" s="472"/>
      <c r="M78" s="472"/>
      <c r="N78" s="472"/>
      <c r="O78" s="472"/>
      <c r="P78" s="472"/>
      <c r="Q78" s="473"/>
      <c r="R78" s="473"/>
      <c r="S78" s="473"/>
    </row>
    <row r="79" spans="1:19">
      <c r="A79" s="80"/>
      <c r="B79" s="471"/>
      <c r="C79" s="471"/>
      <c r="D79" s="471"/>
      <c r="E79" s="471"/>
      <c r="F79" s="471"/>
      <c r="G79" s="471"/>
      <c r="H79" s="471"/>
      <c r="I79" s="471"/>
      <c r="J79" s="471"/>
      <c r="K79" s="471"/>
      <c r="L79" s="471"/>
      <c r="M79" s="471"/>
      <c r="N79" s="471"/>
      <c r="O79" s="471"/>
      <c r="P79" s="471"/>
      <c r="Q79" s="471"/>
      <c r="R79" s="471"/>
      <c r="S79" s="471"/>
    </row>
    <row r="80" spans="1:19">
      <c r="A80" s="80"/>
      <c r="B80" s="472"/>
      <c r="C80" s="472"/>
      <c r="D80" s="472"/>
      <c r="E80" s="472"/>
      <c r="F80" s="472"/>
      <c r="G80" s="472"/>
      <c r="H80" s="472"/>
      <c r="I80" s="472"/>
      <c r="J80" s="472"/>
      <c r="K80" s="472"/>
      <c r="L80" s="472"/>
      <c r="M80" s="472"/>
      <c r="N80" s="472"/>
      <c r="O80" s="472"/>
      <c r="P80" s="472"/>
      <c r="Q80" s="472"/>
      <c r="R80" s="472"/>
      <c r="S80" s="472"/>
    </row>
  </sheetData>
  <mergeCells count="6">
    <mergeCell ref="A66:S66"/>
    <mergeCell ref="A26:S26"/>
    <mergeCell ref="A41:S41"/>
    <mergeCell ref="A53:S53"/>
    <mergeCell ref="A1:O1"/>
    <mergeCell ref="A8:S8"/>
  </mergeCells>
  <phoneticPr fontId="0" type="noConversion"/>
  <pageMargins left="0.75" right="0.75" top="1" bottom="1" header="0.5" footer="0.5"/>
  <pageSetup scale="67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">
    <tabColor rgb="FF92D050"/>
    <pageSetUpPr fitToPage="1"/>
  </sheetPr>
  <dimension ref="A1:Y79"/>
  <sheetViews>
    <sheetView topLeftCell="F1" zoomScale="75" zoomScaleNormal="75" workbookViewId="0">
      <selection activeCell="B6" sqref="B6:P6"/>
    </sheetView>
  </sheetViews>
  <sheetFormatPr defaultRowHeight="14"/>
  <cols>
    <col min="1" max="1" width="27.36328125" style="1" bestFit="1" customWidth="1"/>
    <col min="2" max="2" width="5.36328125" bestFit="1" customWidth="1"/>
    <col min="3" max="3" width="6.36328125" bestFit="1" customWidth="1"/>
    <col min="4" max="4" width="6.7265625" bestFit="1" customWidth="1"/>
    <col min="5" max="5" width="5.453125" bestFit="1" customWidth="1"/>
    <col min="6" max="6" width="6.90625" bestFit="1" customWidth="1"/>
    <col min="7" max="7" width="6.26953125" bestFit="1" customWidth="1"/>
    <col min="8" max="8" width="4.81640625" bestFit="1" customWidth="1"/>
    <col min="9" max="9" width="5.81640625" bestFit="1" customWidth="1"/>
    <col min="10" max="10" width="5.6328125" bestFit="1" customWidth="1"/>
    <col min="11" max="11" width="6.6328125" bestFit="1" customWidth="1"/>
    <col min="12" max="14" width="6.26953125" bestFit="1" customWidth="1"/>
    <col min="15" max="15" width="6.90625" bestFit="1" customWidth="1"/>
    <col min="16" max="16" width="6.54296875" bestFit="1" customWidth="1"/>
    <col min="17" max="17" width="9" customWidth="1"/>
    <col min="18" max="18" width="6.36328125" bestFit="1" customWidth="1"/>
    <col min="19" max="19" width="9.453125" customWidth="1"/>
    <col min="20" max="20" width="11.08984375" customWidth="1"/>
    <col min="21" max="21" width="11.36328125" customWidth="1"/>
    <col min="22" max="22" width="12.54296875" customWidth="1"/>
    <col min="23" max="23" width="11.90625" customWidth="1"/>
    <col min="24" max="24" width="11.453125" customWidth="1"/>
    <col min="25" max="25" width="10.90625" customWidth="1"/>
  </cols>
  <sheetData>
    <row r="1" spans="1:25" ht="15.5">
      <c r="A1" s="2240" t="s">
        <v>294</v>
      </c>
      <c r="B1" s="2240"/>
      <c r="C1" s="2240"/>
      <c r="D1" s="2240"/>
      <c r="E1" s="2240"/>
      <c r="F1" s="2240"/>
      <c r="G1" s="2240"/>
      <c r="H1" s="2240"/>
      <c r="I1" s="2240"/>
      <c r="J1" s="2240"/>
      <c r="K1" s="2240"/>
      <c r="L1" s="2240"/>
      <c r="M1" s="2240"/>
      <c r="N1" s="2240"/>
      <c r="O1" s="2240"/>
      <c r="P1" s="1030"/>
    </row>
    <row r="2" spans="1:25" ht="26">
      <c r="A2" s="71"/>
      <c r="B2" s="1284">
        <v>43472</v>
      </c>
      <c r="C2" s="1284">
        <v>43507</v>
      </c>
      <c r="D2" s="1284">
        <v>43545</v>
      </c>
      <c r="E2" s="1284">
        <v>43563</v>
      </c>
      <c r="F2" s="1284">
        <v>43591</v>
      </c>
      <c r="G2" s="1284">
        <v>43626</v>
      </c>
      <c r="H2" s="1284">
        <v>43654</v>
      </c>
      <c r="I2" s="1284">
        <v>43661</v>
      </c>
      <c r="J2" s="1284">
        <v>43682</v>
      </c>
      <c r="K2" s="1284">
        <v>43690</v>
      </c>
      <c r="L2" s="1284">
        <v>43717</v>
      </c>
      <c r="M2" s="1284">
        <v>43724</v>
      </c>
      <c r="N2" s="1284">
        <v>43752</v>
      </c>
      <c r="O2" s="1284">
        <v>43783</v>
      </c>
      <c r="P2" s="1284">
        <v>43808</v>
      </c>
      <c r="Q2" s="1080" t="s">
        <v>84</v>
      </c>
      <c r="R2" s="1081" t="s">
        <v>76</v>
      </c>
      <c r="S2" s="1081" t="s">
        <v>102</v>
      </c>
    </row>
    <row r="3" spans="1:25">
      <c r="A3" s="2152" t="s">
        <v>1686</v>
      </c>
      <c r="B3" s="2160"/>
      <c r="C3" s="2160">
        <v>12.73</v>
      </c>
      <c r="D3" s="2160">
        <v>12.44</v>
      </c>
      <c r="E3" s="2160">
        <v>11.86</v>
      </c>
      <c r="F3" s="2160">
        <v>9.9</v>
      </c>
      <c r="G3" s="2160">
        <v>11.38</v>
      </c>
      <c r="H3" s="2160">
        <v>9.07</v>
      </c>
      <c r="I3" s="2160"/>
      <c r="J3" s="2160">
        <v>8.86</v>
      </c>
      <c r="K3" s="2160"/>
      <c r="L3" s="2160">
        <v>9.64</v>
      </c>
      <c r="M3" s="2160">
        <v>9.81</v>
      </c>
      <c r="N3" s="2160">
        <v>12.41</v>
      </c>
      <c r="O3" s="2160">
        <v>12.77</v>
      </c>
      <c r="P3" s="2161">
        <v>11.96</v>
      </c>
      <c r="Q3" s="1080"/>
      <c r="R3" s="1081"/>
      <c r="S3" s="1081"/>
    </row>
    <row r="4" spans="1:25">
      <c r="A4" s="1094" t="s">
        <v>297</v>
      </c>
      <c r="B4" s="257">
        <v>11.6</v>
      </c>
      <c r="C4" s="257">
        <v>13.35</v>
      </c>
      <c r="D4" s="257">
        <v>13.26</v>
      </c>
      <c r="E4" s="257">
        <v>12.26</v>
      </c>
      <c r="F4" s="257">
        <v>10.49</v>
      </c>
      <c r="G4" s="257">
        <v>11.33</v>
      </c>
      <c r="H4" s="257">
        <v>9.1</v>
      </c>
      <c r="I4" s="257">
        <v>8.98</v>
      </c>
      <c r="J4" s="213">
        <v>8.6999999999999993</v>
      </c>
      <c r="K4" s="257">
        <v>9.11</v>
      </c>
      <c r="L4" s="257">
        <v>9.68</v>
      </c>
      <c r="M4" s="257">
        <v>10.86</v>
      </c>
      <c r="N4" s="257">
        <v>12.41</v>
      </c>
      <c r="O4" s="257">
        <v>13.19</v>
      </c>
      <c r="P4" s="1037">
        <v>11.52</v>
      </c>
      <c r="Q4" s="1076">
        <f>AVERAGE(B4:P4)</f>
        <v>11.056000000000003</v>
      </c>
      <c r="R4" s="1077">
        <f>MAX(B4:P4)</f>
        <v>13.35</v>
      </c>
      <c r="S4" s="1077">
        <f>AVERAGE(H4:M4)</f>
        <v>9.4049999999999994</v>
      </c>
    </row>
    <row r="5" spans="1:25">
      <c r="A5" s="1095" t="s">
        <v>298</v>
      </c>
      <c r="B5" s="257">
        <v>12.48</v>
      </c>
      <c r="C5" s="257">
        <v>12.53</v>
      </c>
      <c r="D5" s="257">
        <v>11.95</v>
      </c>
      <c r="E5" s="257">
        <v>9.4499999999999993</v>
      </c>
      <c r="F5" s="257">
        <v>9.01</v>
      </c>
      <c r="G5" s="257">
        <v>10.96</v>
      </c>
      <c r="H5" s="257">
        <v>8.9</v>
      </c>
      <c r="I5" s="257">
        <v>8.4499999999999993</v>
      </c>
      <c r="J5" s="213">
        <v>8.77</v>
      </c>
      <c r="K5" s="257">
        <v>8.65</v>
      </c>
      <c r="L5" s="257">
        <v>8.9</v>
      </c>
      <c r="M5" s="257">
        <v>9.19</v>
      </c>
      <c r="N5" s="257">
        <v>12.82</v>
      </c>
      <c r="O5" s="257">
        <v>12.18</v>
      </c>
      <c r="P5" s="1037">
        <v>12.02</v>
      </c>
      <c r="Q5" s="1076">
        <f>AVERAGE(B5:P5)</f>
        <v>10.417333333333335</v>
      </c>
      <c r="R5" s="1077">
        <f>MAX(B5:P5)</f>
        <v>12.82</v>
      </c>
      <c r="S5" s="1077">
        <f>AVERAGE(H5:M5)</f>
        <v>8.81</v>
      </c>
    </row>
    <row r="6" spans="1:25" s="6" customFormat="1">
      <c r="A6" s="1095" t="s">
        <v>299</v>
      </c>
      <c r="B6" s="257">
        <v>11.38</v>
      </c>
      <c r="C6" s="257">
        <v>12.12</v>
      </c>
      <c r="D6" s="257">
        <v>11.03</v>
      </c>
      <c r="E6" s="257">
        <v>10.220000000000001</v>
      </c>
      <c r="F6" s="257">
        <v>8.52</v>
      </c>
      <c r="G6" s="257">
        <v>9.8800000000000008</v>
      </c>
      <c r="H6" s="257">
        <v>6.27</v>
      </c>
      <c r="I6" s="257">
        <v>7.67</v>
      </c>
      <c r="J6" s="213">
        <v>6.31</v>
      </c>
      <c r="K6" s="257">
        <v>7.59</v>
      </c>
      <c r="L6" s="257">
        <v>8.6300000000000008</v>
      </c>
      <c r="M6" s="257">
        <v>8.5299999999999994</v>
      </c>
      <c r="N6" s="257">
        <v>10.07</v>
      </c>
      <c r="O6" s="257">
        <v>11.38</v>
      </c>
      <c r="P6" s="1037">
        <v>11.42</v>
      </c>
      <c r="Q6" s="1076">
        <f>AVERAGE(B6:P6)</f>
        <v>9.4013333333333318</v>
      </c>
      <c r="R6" s="1077">
        <f>MAX(B6:P6)</f>
        <v>12.12</v>
      </c>
      <c r="S6" s="1077">
        <f>AVERAGE(H6:M6)</f>
        <v>7.5</v>
      </c>
    </row>
    <row r="7" spans="1:25" s="6" customFormat="1">
      <c r="A7" s="1095" t="s">
        <v>861</v>
      </c>
      <c r="B7" s="257">
        <v>13.39</v>
      </c>
      <c r="C7" s="257">
        <v>13.1</v>
      </c>
      <c r="D7" s="257">
        <v>12.3</v>
      </c>
      <c r="E7" s="257">
        <v>10.029999999999999</v>
      </c>
      <c r="F7" s="257">
        <v>8.9700000000000006</v>
      </c>
      <c r="G7" s="257">
        <v>9.3699999999999992</v>
      </c>
      <c r="H7" s="257">
        <v>8.18</v>
      </c>
      <c r="I7" s="257">
        <v>7.92</v>
      </c>
      <c r="J7" s="213">
        <v>9.18</v>
      </c>
      <c r="K7" s="257">
        <v>8.15</v>
      </c>
      <c r="L7" s="257">
        <v>8.86</v>
      </c>
      <c r="M7" s="257">
        <v>10.32</v>
      </c>
      <c r="N7" s="257">
        <v>11.87</v>
      </c>
      <c r="O7" s="257">
        <v>12.1</v>
      </c>
      <c r="P7" s="1037">
        <v>12.04</v>
      </c>
      <c r="Q7" s="1076">
        <f>AVERAGE(B7:P7)</f>
        <v>10.385333333333334</v>
      </c>
      <c r="R7" s="1077">
        <f>MAX(B7:P7)</f>
        <v>13.39</v>
      </c>
      <c r="S7" s="1077">
        <f>AVERAGE(H7:M7)</f>
        <v>8.7683333333333326</v>
      </c>
    </row>
    <row r="8" spans="1:25" ht="15.5">
      <c r="A8" s="2307" t="s">
        <v>291</v>
      </c>
      <c r="B8" s="2308"/>
      <c r="C8" s="2308"/>
      <c r="D8" s="2308"/>
      <c r="E8" s="2308"/>
      <c r="F8" s="2308"/>
      <c r="G8" s="2308"/>
      <c r="H8" s="2308"/>
      <c r="I8" s="2308"/>
      <c r="J8" s="2308"/>
      <c r="K8" s="2308"/>
      <c r="L8" s="2308"/>
      <c r="M8" s="2308"/>
      <c r="N8" s="2308"/>
      <c r="O8" s="2308"/>
      <c r="P8" s="2308"/>
      <c r="Q8" s="2308"/>
      <c r="R8" s="2308"/>
      <c r="S8" s="2309"/>
      <c r="T8" s="5"/>
      <c r="U8" s="5"/>
      <c r="V8" s="5"/>
      <c r="W8" s="5"/>
      <c r="X8" s="5"/>
      <c r="Y8" s="5"/>
    </row>
    <row r="9" spans="1:25">
      <c r="A9" s="118" t="s">
        <v>235</v>
      </c>
      <c r="B9" s="257">
        <v>17.350000000000001</v>
      </c>
      <c r="C9" s="257">
        <v>19.100000000000001</v>
      </c>
      <c r="D9" s="257">
        <v>14.33</v>
      </c>
      <c r="E9" s="257">
        <v>12.59</v>
      </c>
      <c r="F9" s="257">
        <v>10.6</v>
      </c>
      <c r="G9" s="257">
        <v>9.68</v>
      </c>
      <c r="H9" s="257">
        <v>8.8000000000000007</v>
      </c>
      <c r="I9" s="257">
        <v>9.26</v>
      </c>
      <c r="J9" s="212">
        <v>8.17</v>
      </c>
      <c r="K9" s="257">
        <v>6.89</v>
      </c>
      <c r="L9" s="257">
        <v>8.6199999999999992</v>
      </c>
      <c r="M9" s="257">
        <v>9.02</v>
      </c>
      <c r="N9" s="257">
        <v>10.72</v>
      </c>
      <c r="O9" s="257">
        <v>12.51</v>
      </c>
      <c r="P9" s="1037">
        <v>12.93</v>
      </c>
      <c r="Q9" s="1076">
        <f t="shared" ref="Q9:Q22" si="0">AVERAGE(B9:P9)</f>
        <v>11.371333333333334</v>
      </c>
      <c r="R9" s="1077">
        <f t="shared" ref="R9:R22" si="1">MAX(B9:P9)</f>
        <v>19.100000000000001</v>
      </c>
      <c r="S9" s="1077">
        <f t="shared" ref="S9:S22" si="2">AVERAGE(H9:M9)</f>
        <v>8.4600000000000009</v>
      </c>
      <c r="T9" s="5"/>
      <c r="U9" s="5"/>
      <c r="V9" s="5"/>
      <c r="W9" s="5"/>
      <c r="X9" s="5"/>
      <c r="Y9" s="5"/>
    </row>
    <row r="10" spans="1:25">
      <c r="A10" s="118" t="s">
        <v>139</v>
      </c>
      <c r="B10" s="257">
        <v>15.56</v>
      </c>
      <c r="C10" s="257">
        <v>17.3</v>
      </c>
      <c r="D10" s="257">
        <v>14.15</v>
      </c>
      <c r="E10" s="257">
        <v>12.64</v>
      </c>
      <c r="F10" s="257">
        <v>10.51</v>
      </c>
      <c r="G10" s="257">
        <v>9.6199999999999992</v>
      </c>
      <c r="H10" s="257">
        <v>8.8000000000000007</v>
      </c>
      <c r="I10" s="257">
        <v>8.2200000000000006</v>
      </c>
      <c r="J10" s="212">
        <v>5.7</v>
      </c>
      <c r="K10" s="257">
        <v>6.3</v>
      </c>
      <c r="L10" s="257">
        <v>7.84</v>
      </c>
      <c r="M10" s="257">
        <v>8.8000000000000007</v>
      </c>
      <c r="N10" s="257">
        <v>10.57</v>
      </c>
      <c r="O10" s="257">
        <v>12.16</v>
      </c>
      <c r="P10" s="1037">
        <v>13.12</v>
      </c>
      <c r="Q10" s="1076">
        <f t="shared" si="0"/>
        <v>10.752666666666666</v>
      </c>
      <c r="R10" s="1077">
        <f t="shared" si="1"/>
        <v>17.3</v>
      </c>
      <c r="S10" s="1077">
        <f t="shared" si="2"/>
        <v>7.6099999999999994</v>
      </c>
      <c r="T10" s="5"/>
      <c r="U10" s="5"/>
      <c r="V10" s="5"/>
      <c r="W10" s="5"/>
      <c r="X10" s="5"/>
      <c r="Y10" s="5"/>
    </row>
    <row r="11" spans="1:25">
      <c r="A11" s="118" t="s">
        <v>236</v>
      </c>
      <c r="B11" s="257">
        <v>13.51</v>
      </c>
      <c r="C11" s="257">
        <v>16.260000000000002</v>
      </c>
      <c r="D11" s="257">
        <v>14.12</v>
      </c>
      <c r="E11" s="257">
        <v>12.58</v>
      </c>
      <c r="F11" s="257">
        <v>9.42</v>
      </c>
      <c r="G11" s="257">
        <v>9.34</v>
      </c>
      <c r="H11" s="257">
        <v>8.82</v>
      </c>
      <c r="I11" s="257">
        <v>8.4700000000000006</v>
      </c>
      <c r="J11" s="212">
        <v>5.77</v>
      </c>
      <c r="K11" s="257">
        <v>6.28</v>
      </c>
      <c r="L11" s="257">
        <v>7.65</v>
      </c>
      <c r="M11" s="257">
        <v>8.82</v>
      </c>
      <c r="N11" s="257">
        <v>10.52</v>
      </c>
      <c r="O11" s="257">
        <v>12.16</v>
      </c>
      <c r="P11" s="1037">
        <v>13.15</v>
      </c>
      <c r="Q11" s="1076">
        <f t="shared" si="0"/>
        <v>10.458000000000002</v>
      </c>
      <c r="R11" s="1077">
        <f t="shared" si="1"/>
        <v>16.260000000000002</v>
      </c>
      <c r="S11" s="1077">
        <f t="shared" si="2"/>
        <v>7.6350000000000007</v>
      </c>
      <c r="T11" s="5"/>
      <c r="U11" s="5"/>
      <c r="V11" s="5"/>
      <c r="W11" s="5"/>
    </row>
    <row r="12" spans="1:25">
      <c r="A12" s="118" t="s">
        <v>140</v>
      </c>
      <c r="B12" s="257">
        <v>12.52</v>
      </c>
      <c r="C12" s="257">
        <v>14.55</v>
      </c>
      <c r="D12" s="257">
        <v>13.77</v>
      </c>
      <c r="E12" s="257">
        <v>11.69</v>
      </c>
      <c r="F12" s="257">
        <v>8.65</v>
      </c>
      <c r="G12" s="257">
        <v>9.17</v>
      </c>
      <c r="H12" s="257">
        <v>8.44</v>
      </c>
      <c r="I12" s="257">
        <v>8.44</v>
      </c>
      <c r="J12" s="212">
        <v>5.67</v>
      </c>
      <c r="K12" s="257">
        <v>6</v>
      </c>
      <c r="L12" s="257">
        <v>7.34</v>
      </c>
      <c r="M12" s="257">
        <v>8.67</v>
      </c>
      <c r="N12" s="257">
        <v>10.28</v>
      </c>
      <c r="O12" s="257">
        <v>12.01</v>
      </c>
      <c r="P12" s="1037">
        <v>13.32</v>
      </c>
      <c r="Q12" s="1076">
        <f t="shared" si="0"/>
        <v>10.034666666666665</v>
      </c>
      <c r="R12" s="1077">
        <f t="shared" si="1"/>
        <v>14.55</v>
      </c>
      <c r="S12" s="1077">
        <f t="shared" si="2"/>
        <v>7.4266666666666667</v>
      </c>
      <c r="T12" s="5"/>
      <c r="U12" s="5"/>
      <c r="V12" s="5"/>
      <c r="W12" s="5"/>
      <c r="X12" s="5"/>
    </row>
    <row r="13" spans="1:25">
      <c r="A13" s="118" t="s">
        <v>237</v>
      </c>
      <c r="B13" s="257">
        <v>12.43</v>
      </c>
      <c r="C13" s="257">
        <v>11.62</v>
      </c>
      <c r="D13" s="257">
        <v>13.8</v>
      </c>
      <c r="E13" s="257">
        <v>12.4</v>
      </c>
      <c r="F13" s="257">
        <v>8.6199999999999992</v>
      </c>
      <c r="G13" s="257">
        <v>9.02</v>
      </c>
      <c r="H13" s="257">
        <v>7.8</v>
      </c>
      <c r="I13" s="257">
        <v>7.35</v>
      </c>
      <c r="J13" s="212">
        <v>5.62</v>
      </c>
      <c r="K13" s="257">
        <v>5.83</v>
      </c>
      <c r="L13" s="257">
        <v>7.34</v>
      </c>
      <c r="M13" s="257">
        <v>8.14</v>
      </c>
      <c r="N13" s="257">
        <v>10.16</v>
      </c>
      <c r="O13" s="257">
        <v>11.84</v>
      </c>
      <c r="P13" s="1037">
        <v>12.8</v>
      </c>
      <c r="Q13" s="1076">
        <f t="shared" si="0"/>
        <v>9.6513333333333318</v>
      </c>
      <c r="R13" s="1077">
        <f t="shared" si="1"/>
        <v>13.8</v>
      </c>
      <c r="S13" s="1077">
        <f t="shared" si="2"/>
        <v>7.0133333333333328</v>
      </c>
      <c r="T13" s="5"/>
      <c r="U13" s="5"/>
      <c r="V13" s="5"/>
      <c r="W13" s="5"/>
      <c r="X13" s="5"/>
    </row>
    <row r="14" spans="1:25">
      <c r="A14" s="118" t="s">
        <v>141</v>
      </c>
      <c r="B14" s="257">
        <v>11.96</v>
      </c>
      <c r="C14" s="257">
        <v>9.4499999999999993</v>
      </c>
      <c r="D14" s="257">
        <v>13.67</v>
      </c>
      <c r="E14" s="257">
        <v>11.39</v>
      </c>
      <c r="F14" s="257">
        <v>8.5299999999999994</v>
      </c>
      <c r="G14" s="257">
        <v>9.0399999999999991</v>
      </c>
      <c r="H14" s="257">
        <v>7.44</v>
      </c>
      <c r="I14" s="257">
        <v>7.21</v>
      </c>
      <c r="J14" s="212">
        <v>5.78</v>
      </c>
      <c r="K14" s="257">
        <v>5.99</v>
      </c>
      <c r="L14" s="257">
        <v>7.42</v>
      </c>
      <c r="M14" s="257">
        <v>8.3000000000000007</v>
      </c>
      <c r="N14" s="257">
        <v>9.75</v>
      </c>
      <c r="O14" s="257">
        <v>12.01</v>
      </c>
      <c r="P14" s="1037">
        <v>12.75</v>
      </c>
      <c r="Q14" s="1076">
        <f t="shared" si="0"/>
        <v>9.3793333333333333</v>
      </c>
      <c r="R14" s="1077">
        <f t="shared" si="1"/>
        <v>13.67</v>
      </c>
      <c r="S14" s="1077">
        <f t="shared" si="2"/>
        <v>7.0233333333333334</v>
      </c>
      <c r="T14" s="5"/>
      <c r="U14" s="5"/>
      <c r="V14" s="5"/>
      <c r="W14" s="5"/>
      <c r="X14" s="5"/>
    </row>
    <row r="15" spans="1:25">
      <c r="A15" s="118" t="s">
        <v>238</v>
      </c>
      <c r="B15" s="257"/>
      <c r="C15" s="257">
        <v>8.26</v>
      </c>
      <c r="D15" s="257">
        <v>12.06</v>
      </c>
      <c r="E15" s="257">
        <v>10.06</v>
      </c>
      <c r="F15" s="257">
        <v>8.44</v>
      </c>
      <c r="G15" s="257">
        <v>9.01</v>
      </c>
      <c r="H15" s="257">
        <v>7.81</v>
      </c>
      <c r="I15" s="257">
        <v>7.43</v>
      </c>
      <c r="J15" s="212">
        <v>5.62</v>
      </c>
      <c r="K15" s="257">
        <v>5.73</v>
      </c>
      <c r="L15" s="260">
        <v>6.91</v>
      </c>
      <c r="M15" s="257">
        <v>8.49</v>
      </c>
      <c r="N15" s="257">
        <v>9.09</v>
      </c>
      <c r="O15" s="257">
        <v>11.96</v>
      </c>
      <c r="P15" s="1037">
        <v>12.32</v>
      </c>
      <c r="Q15" s="1076">
        <f t="shared" si="0"/>
        <v>8.7992857142857144</v>
      </c>
      <c r="R15" s="1077">
        <f t="shared" si="1"/>
        <v>12.32</v>
      </c>
      <c r="S15" s="1077">
        <f t="shared" si="2"/>
        <v>6.998333333333334</v>
      </c>
      <c r="T15" s="5"/>
      <c r="U15" s="5"/>
      <c r="V15" s="5"/>
      <c r="W15" s="5"/>
      <c r="X15" s="5"/>
    </row>
    <row r="16" spans="1:25">
      <c r="A16" s="118" t="s">
        <v>142</v>
      </c>
      <c r="B16" s="257"/>
      <c r="C16" s="257">
        <v>7.42</v>
      </c>
      <c r="D16" s="257">
        <v>12.38</v>
      </c>
      <c r="E16" s="257">
        <v>9.31</v>
      </c>
      <c r="F16" s="257">
        <v>7.78</v>
      </c>
      <c r="G16" s="257">
        <v>9.18</v>
      </c>
      <c r="H16" s="257">
        <v>7.7</v>
      </c>
      <c r="I16" s="257">
        <v>7.21</v>
      </c>
      <c r="J16" s="212">
        <v>5.8</v>
      </c>
      <c r="K16" s="257">
        <v>5.82</v>
      </c>
      <c r="L16" s="257">
        <v>7.07</v>
      </c>
      <c r="M16" s="257">
        <v>8.52</v>
      </c>
      <c r="N16" s="257">
        <v>9.0500000000000007</v>
      </c>
      <c r="O16" s="257">
        <v>11.68</v>
      </c>
      <c r="P16" s="1037">
        <v>11.81</v>
      </c>
      <c r="Q16" s="1076">
        <f t="shared" si="0"/>
        <v>8.6235714285714273</v>
      </c>
      <c r="R16" s="1077">
        <f t="shared" si="1"/>
        <v>12.38</v>
      </c>
      <c r="S16" s="1077">
        <f t="shared" si="2"/>
        <v>7.0200000000000005</v>
      </c>
      <c r="T16" s="5"/>
      <c r="U16" s="5"/>
      <c r="V16" s="5"/>
      <c r="W16" s="5"/>
      <c r="X16" s="5"/>
    </row>
    <row r="17" spans="1:24">
      <c r="A17" s="118" t="s">
        <v>143</v>
      </c>
      <c r="B17" s="257"/>
      <c r="C17" s="257">
        <v>7.37</v>
      </c>
      <c r="D17" s="257">
        <v>7.61</v>
      </c>
      <c r="E17" s="257">
        <v>8.57</v>
      </c>
      <c r="F17" s="257">
        <v>8</v>
      </c>
      <c r="G17" s="257">
        <v>8.92</v>
      </c>
      <c r="H17" s="257">
        <v>7.34</v>
      </c>
      <c r="I17" s="257">
        <v>7.32</v>
      </c>
      <c r="J17" s="212">
        <v>5.8</v>
      </c>
      <c r="K17" s="257">
        <v>5.56</v>
      </c>
      <c r="L17" s="257">
        <v>6.93</v>
      </c>
      <c r="M17" s="257">
        <v>8.4600000000000009</v>
      </c>
      <c r="N17" s="257">
        <v>9.02</v>
      </c>
      <c r="O17" s="257">
        <v>11.53</v>
      </c>
      <c r="P17" s="1037">
        <v>11.5</v>
      </c>
      <c r="Q17" s="1076">
        <f t="shared" si="0"/>
        <v>8.1378571428571416</v>
      </c>
      <c r="R17" s="1077">
        <f t="shared" si="1"/>
        <v>11.53</v>
      </c>
      <c r="S17" s="1077">
        <f t="shared" si="2"/>
        <v>6.9016666666666673</v>
      </c>
      <c r="T17" s="5"/>
      <c r="U17" s="5"/>
      <c r="V17" s="5"/>
      <c r="W17" s="5"/>
      <c r="X17" s="5"/>
    </row>
    <row r="18" spans="1:24">
      <c r="A18" s="118" t="s">
        <v>144</v>
      </c>
      <c r="B18" s="257"/>
      <c r="C18" s="257">
        <v>6.79</v>
      </c>
      <c r="D18" s="257">
        <v>6.77</v>
      </c>
      <c r="E18" s="257">
        <v>7.75</v>
      </c>
      <c r="F18" s="257">
        <v>8.2200000000000006</v>
      </c>
      <c r="G18" s="257">
        <v>9.31</v>
      </c>
      <c r="H18" s="257">
        <v>6.88</v>
      </c>
      <c r="I18" s="257">
        <v>7.19</v>
      </c>
      <c r="J18" s="212">
        <v>5.78</v>
      </c>
      <c r="K18" s="257">
        <v>5.58</v>
      </c>
      <c r="L18" s="257">
        <v>7.07</v>
      </c>
      <c r="M18" s="257">
        <v>8.41</v>
      </c>
      <c r="N18" s="257">
        <v>7.94</v>
      </c>
      <c r="O18" s="257">
        <v>11.56</v>
      </c>
      <c r="P18" s="1037">
        <v>10.8</v>
      </c>
      <c r="Q18" s="1076">
        <f t="shared" si="0"/>
        <v>7.8607142857142858</v>
      </c>
      <c r="R18" s="1077">
        <f t="shared" si="1"/>
        <v>11.56</v>
      </c>
      <c r="S18" s="1077">
        <f t="shared" si="2"/>
        <v>6.8183333333333325</v>
      </c>
      <c r="T18" s="5"/>
      <c r="U18" s="5"/>
      <c r="V18" s="5"/>
      <c r="W18" s="5"/>
      <c r="X18" s="5"/>
    </row>
    <row r="19" spans="1:24">
      <c r="A19" s="118" t="s">
        <v>145</v>
      </c>
      <c r="B19" s="257"/>
      <c r="C19" s="260"/>
      <c r="D19" s="257">
        <v>5.34</v>
      </c>
      <c r="E19" s="257">
        <v>7.41</v>
      </c>
      <c r="F19" s="257">
        <v>8.11</v>
      </c>
      <c r="G19" s="257">
        <v>9.1</v>
      </c>
      <c r="H19" s="257">
        <v>6.67</v>
      </c>
      <c r="I19" s="257">
        <v>6.79</v>
      </c>
      <c r="J19" s="212">
        <v>5.2</v>
      </c>
      <c r="K19" s="257">
        <v>5.18</v>
      </c>
      <c r="L19" s="257">
        <v>7.16</v>
      </c>
      <c r="M19" s="257">
        <v>8.52</v>
      </c>
      <c r="N19" s="257">
        <v>7.91</v>
      </c>
      <c r="O19" s="257">
        <v>11.42</v>
      </c>
      <c r="P19" s="1037"/>
      <c r="Q19" s="1076">
        <f t="shared" si="0"/>
        <v>7.4008333333333338</v>
      </c>
      <c r="R19" s="1077">
        <f t="shared" si="1"/>
        <v>11.42</v>
      </c>
      <c r="S19" s="1077">
        <f t="shared" si="2"/>
        <v>6.586666666666666</v>
      </c>
      <c r="T19" s="5"/>
      <c r="U19" s="5"/>
      <c r="V19" s="5"/>
      <c r="W19" s="5"/>
      <c r="X19" s="5"/>
    </row>
    <row r="20" spans="1:24">
      <c r="A20" s="118" t="s">
        <v>146</v>
      </c>
      <c r="B20" s="257"/>
      <c r="C20" s="257"/>
      <c r="D20" s="257">
        <v>4.0999999999999996</v>
      </c>
      <c r="E20" s="257">
        <v>4.93</v>
      </c>
      <c r="F20" s="257">
        <v>8.15</v>
      </c>
      <c r="G20" s="257">
        <v>8.91</v>
      </c>
      <c r="H20" s="257">
        <v>6.15</v>
      </c>
      <c r="I20" s="257">
        <v>6.67</v>
      </c>
      <c r="J20" s="212">
        <v>4.99</v>
      </c>
      <c r="K20" s="257">
        <v>4.92</v>
      </c>
      <c r="L20" s="257">
        <v>7.48</v>
      </c>
      <c r="M20" s="257">
        <v>7.42</v>
      </c>
      <c r="N20" s="257">
        <v>7.9</v>
      </c>
      <c r="O20" s="257">
        <v>11.42</v>
      </c>
      <c r="P20" s="1037"/>
      <c r="Q20" s="1076">
        <f t="shared" si="0"/>
        <v>6.9200000000000017</v>
      </c>
      <c r="R20" s="1077">
        <f t="shared" si="1"/>
        <v>11.42</v>
      </c>
      <c r="S20" s="1077">
        <f t="shared" si="2"/>
        <v>6.2716666666666674</v>
      </c>
      <c r="T20" s="5"/>
      <c r="U20" s="5"/>
      <c r="V20" s="5"/>
      <c r="W20" s="5"/>
      <c r="X20" s="5"/>
    </row>
    <row r="21" spans="1:24">
      <c r="A21" s="118" t="s">
        <v>147</v>
      </c>
      <c r="B21" s="257"/>
      <c r="C21" s="257"/>
      <c r="D21" s="257">
        <v>0.63</v>
      </c>
      <c r="E21" s="257">
        <v>3.35</v>
      </c>
      <c r="F21" s="257">
        <v>7.93</v>
      </c>
      <c r="G21" s="257">
        <v>7.96</v>
      </c>
      <c r="H21" s="257">
        <v>5.3</v>
      </c>
      <c r="I21" s="257">
        <v>5.07</v>
      </c>
      <c r="J21" s="212">
        <v>5.01</v>
      </c>
      <c r="K21" s="257">
        <v>4.3499999999999996</v>
      </c>
      <c r="L21" s="257">
        <v>7.22</v>
      </c>
      <c r="M21" s="257">
        <v>6.2</v>
      </c>
      <c r="N21" s="257">
        <v>7.9</v>
      </c>
      <c r="O21" s="257">
        <v>9.64</v>
      </c>
      <c r="P21" s="1037"/>
      <c r="Q21" s="1076">
        <f t="shared" si="0"/>
        <v>5.88</v>
      </c>
      <c r="R21" s="1077">
        <f t="shared" si="1"/>
        <v>9.64</v>
      </c>
      <c r="S21" s="1077">
        <f t="shared" si="2"/>
        <v>5.5249999999999995</v>
      </c>
      <c r="T21" s="5"/>
      <c r="U21" s="5"/>
      <c r="V21" s="5"/>
      <c r="W21" s="5"/>
      <c r="X21" s="5"/>
    </row>
    <row r="22" spans="1:24">
      <c r="A22" s="118" t="s">
        <v>165</v>
      </c>
      <c r="B22" s="257"/>
      <c r="C22" s="257"/>
      <c r="D22" s="257">
        <v>0.27</v>
      </c>
      <c r="E22" s="257"/>
      <c r="F22" s="257">
        <v>6.67</v>
      </c>
      <c r="G22" s="257">
        <v>5.32</v>
      </c>
      <c r="H22" s="257">
        <v>3.96</v>
      </c>
      <c r="I22" s="257">
        <v>3.41</v>
      </c>
      <c r="J22" s="212">
        <v>3.53</v>
      </c>
      <c r="K22" s="257">
        <v>3.35</v>
      </c>
      <c r="L22" s="257">
        <v>7.04</v>
      </c>
      <c r="M22" s="257">
        <v>5.74</v>
      </c>
      <c r="N22" s="257"/>
      <c r="O22" s="257"/>
      <c r="P22" s="1037"/>
      <c r="Q22" s="1076">
        <f t="shared" si="0"/>
        <v>4.3655555555555559</v>
      </c>
      <c r="R22" s="1077">
        <f t="shared" si="1"/>
        <v>7.04</v>
      </c>
      <c r="S22" s="1077">
        <f t="shared" si="2"/>
        <v>4.5049999999999999</v>
      </c>
      <c r="T22" s="5"/>
      <c r="U22" s="5"/>
      <c r="V22" s="5"/>
      <c r="W22" s="5"/>
      <c r="X22" s="5"/>
    </row>
    <row r="23" spans="1:24">
      <c r="A23" s="118" t="s">
        <v>304</v>
      </c>
      <c r="B23" s="257">
        <f>AVERAGE(B9:B12)</f>
        <v>14.734999999999999</v>
      </c>
      <c r="C23" s="257">
        <f t="shared" ref="C23:P23" si="3">AVERAGE(C9:C12)</f>
        <v>16.802500000000002</v>
      </c>
      <c r="D23" s="257">
        <f t="shared" si="3"/>
        <v>14.092500000000001</v>
      </c>
      <c r="E23" s="257">
        <f t="shared" si="3"/>
        <v>12.375</v>
      </c>
      <c r="F23" s="257">
        <f t="shared" si="3"/>
        <v>9.7949999999999999</v>
      </c>
      <c r="G23" s="257">
        <f t="shared" si="3"/>
        <v>9.4524999999999988</v>
      </c>
      <c r="H23" s="257">
        <f t="shared" si="3"/>
        <v>8.7149999999999999</v>
      </c>
      <c r="I23" s="257">
        <f t="shared" si="3"/>
        <v>8.5975000000000001</v>
      </c>
      <c r="J23" s="257">
        <f t="shared" si="3"/>
        <v>6.3275000000000006</v>
      </c>
      <c r="K23" s="257">
        <f t="shared" si="3"/>
        <v>6.3674999999999997</v>
      </c>
      <c r="L23" s="257">
        <f t="shared" si="3"/>
        <v>7.8624999999999998</v>
      </c>
      <c r="M23" s="257">
        <f t="shared" si="3"/>
        <v>8.8275000000000006</v>
      </c>
      <c r="N23" s="257">
        <f t="shared" si="3"/>
        <v>10.522499999999999</v>
      </c>
      <c r="O23" s="257">
        <f t="shared" si="3"/>
        <v>12.209999999999999</v>
      </c>
      <c r="P23" s="257">
        <f t="shared" si="3"/>
        <v>13.129999999999999</v>
      </c>
      <c r="Q23" s="1072">
        <f>AVERAGE(Q9:Q12)</f>
        <v>10.654166666666669</v>
      </c>
      <c r="R23" s="1072">
        <f>AVERAGE(R9:R12)</f>
        <v>16.802500000000002</v>
      </c>
      <c r="S23" s="1072">
        <f>AVERAGE(S9:S12)</f>
        <v>7.7829166666666669</v>
      </c>
    </row>
    <row r="24" spans="1:24">
      <c r="A24" s="118" t="s">
        <v>305</v>
      </c>
      <c r="B24" s="257">
        <f>AVERAGE(B9:B22)</f>
        <v>13.888333333333335</v>
      </c>
      <c r="C24" s="257">
        <f t="shared" ref="C24:P24" si="4">AVERAGE(C9:C22)</f>
        <v>11.812000000000003</v>
      </c>
      <c r="D24" s="257">
        <f t="shared" si="4"/>
        <v>9.5</v>
      </c>
      <c r="E24" s="257">
        <f t="shared" si="4"/>
        <v>9.59</v>
      </c>
      <c r="F24" s="257">
        <f t="shared" si="4"/>
        <v>8.5449999999999999</v>
      </c>
      <c r="G24" s="257">
        <f t="shared" si="4"/>
        <v>8.8271428571428565</v>
      </c>
      <c r="H24" s="257">
        <f t="shared" si="4"/>
        <v>7.2792857142857139</v>
      </c>
      <c r="I24" s="257">
        <f t="shared" si="4"/>
        <v>7.145714285714285</v>
      </c>
      <c r="J24" s="257">
        <f t="shared" si="4"/>
        <v>5.6028571428571423</v>
      </c>
      <c r="K24" s="257">
        <f t="shared" si="4"/>
        <v>5.5557142857142852</v>
      </c>
      <c r="L24" s="257">
        <f t="shared" si="4"/>
        <v>7.3635714285714284</v>
      </c>
      <c r="M24" s="257">
        <f t="shared" si="4"/>
        <v>8.1078571428571422</v>
      </c>
      <c r="N24" s="257">
        <f t="shared" si="4"/>
        <v>9.2930769230769226</v>
      </c>
      <c r="O24" s="257">
        <f t="shared" si="4"/>
        <v>11.684615384615382</v>
      </c>
      <c r="P24" s="257">
        <f t="shared" si="4"/>
        <v>12.45</v>
      </c>
      <c r="Q24" s="1072">
        <f t="shared" ref="Q24:S24" si="5">AVERAGE(Q9:Q22)</f>
        <v>8.5453679138321998</v>
      </c>
      <c r="R24" s="1072">
        <f t="shared" si="5"/>
        <v>12.999285714285714</v>
      </c>
      <c r="S24" s="1072">
        <f t="shared" si="5"/>
        <v>6.8425000000000002</v>
      </c>
    </row>
    <row r="25" spans="1:24" ht="15.5">
      <c r="A25" s="2304" t="s">
        <v>292</v>
      </c>
      <c r="B25" s="2305"/>
      <c r="C25" s="2305"/>
      <c r="D25" s="2305"/>
      <c r="E25" s="2305"/>
      <c r="F25" s="2305"/>
      <c r="G25" s="2305"/>
      <c r="H25" s="2305"/>
      <c r="I25" s="2305"/>
      <c r="J25" s="2305"/>
      <c r="K25" s="2305"/>
      <c r="L25" s="2305"/>
      <c r="M25" s="2305"/>
      <c r="N25" s="2305"/>
      <c r="O25" s="2305"/>
      <c r="P25" s="2305"/>
      <c r="Q25" s="2305"/>
      <c r="R25" s="2305"/>
      <c r="S25" s="2306"/>
    </row>
    <row r="26" spans="1:24">
      <c r="A26" s="118" t="s">
        <v>235</v>
      </c>
      <c r="B26" s="257"/>
      <c r="C26" s="257">
        <v>17.440000000000001</v>
      </c>
      <c r="D26" s="257">
        <v>13.75</v>
      </c>
      <c r="E26" s="257">
        <v>12.28</v>
      </c>
      <c r="F26" s="237">
        <v>8.68</v>
      </c>
      <c r="G26" s="257">
        <v>9.5</v>
      </c>
      <c r="H26" s="257">
        <v>9</v>
      </c>
      <c r="I26" s="257">
        <v>8.19</v>
      </c>
      <c r="J26" s="257">
        <v>6.1</v>
      </c>
      <c r="K26" s="257">
        <v>5.97</v>
      </c>
      <c r="L26" s="257">
        <v>8.6300000000000008</v>
      </c>
      <c r="M26" s="257">
        <v>9.5299999999999994</v>
      </c>
      <c r="N26" s="257">
        <v>10.6</v>
      </c>
      <c r="O26" s="257">
        <v>11.87</v>
      </c>
      <c r="P26" s="1037"/>
      <c r="Q26" s="1076">
        <f t="shared" ref="Q26:Q36" si="6">AVERAGE(B26:P26)</f>
        <v>10.118461538461538</v>
      </c>
      <c r="R26" s="1077">
        <f t="shared" ref="R26:R36" si="7">MAX(B26:P26)</f>
        <v>17.440000000000001</v>
      </c>
      <c r="S26" s="1077">
        <f t="shared" ref="S26:S37" si="8">AVERAGE(H26:M26)</f>
        <v>7.9033333333333333</v>
      </c>
    </row>
    <row r="27" spans="1:24">
      <c r="A27" s="118" t="s">
        <v>139</v>
      </c>
      <c r="B27" s="257"/>
      <c r="C27" s="257">
        <v>17.25</v>
      </c>
      <c r="D27" s="257">
        <v>13.52</v>
      </c>
      <c r="E27" s="257">
        <v>12.15</v>
      </c>
      <c r="F27" s="237">
        <v>8.74</v>
      </c>
      <c r="G27" s="257">
        <v>9.34</v>
      </c>
      <c r="H27" s="257">
        <v>8.6999999999999993</v>
      </c>
      <c r="I27" s="257">
        <v>8.15</v>
      </c>
      <c r="J27" s="257">
        <v>5.79</v>
      </c>
      <c r="K27" s="257">
        <v>5.86</v>
      </c>
      <c r="L27" s="257">
        <v>8.7799999999999994</v>
      </c>
      <c r="M27" s="257">
        <v>9.81</v>
      </c>
      <c r="N27" s="257">
        <v>10.71</v>
      </c>
      <c r="O27" s="257">
        <v>11.65</v>
      </c>
      <c r="P27" s="1037"/>
      <c r="Q27" s="1076">
        <f t="shared" si="6"/>
        <v>10.034615384615385</v>
      </c>
      <c r="R27" s="1077">
        <f t="shared" si="7"/>
        <v>17.25</v>
      </c>
      <c r="S27" s="1077">
        <f t="shared" si="8"/>
        <v>7.8483333333333336</v>
      </c>
    </row>
    <row r="28" spans="1:24">
      <c r="A28" s="118" t="s">
        <v>236</v>
      </c>
      <c r="B28" s="257"/>
      <c r="C28" s="257">
        <v>16.22</v>
      </c>
      <c r="D28" s="257">
        <v>13.48</v>
      </c>
      <c r="E28" s="257">
        <v>12.08</v>
      </c>
      <c r="F28" s="237">
        <v>8.56</v>
      </c>
      <c r="G28" s="257">
        <v>9.18</v>
      </c>
      <c r="H28" s="257">
        <v>8.8000000000000007</v>
      </c>
      <c r="I28" s="257">
        <v>8.26</v>
      </c>
      <c r="J28" s="257">
        <v>5.9</v>
      </c>
      <c r="K28" s="257">
        <v>6.16</v>
      </c>
      <c r="L28" s="257">
        <v>8.15</v>
      </c>
      <c r="M28" s="257">
        <v>9.5399999999999991</v>
      </c>
      <c r="N28" s="257">
        <v>10.44</v>
      </c>
      <c r="O28" s="257">
        <v>11.53</v>
      </c>
      <c r="P28" s="1037"/>
      <c r="Q28" s="1076">
        <f t="shared" si="6"/>
        <v>9.8692307692307697</v>
      </c>
      <c r="R28" s="1077">
        <f t="shared" si="7"/>
        <v>16.22</v>
      </c>
      <c r="S28" s="1077">
        <f t="shared" si="8"/>
        <v>7.8016666666666667</v>
      </c>
    </row>
    <row r="29" spans="1:24">
      <c r="A29" s="118" t="s">
        <v>140</v>
      </c>
      <c r="B29" s="257"/>
      <c r="C29" s="257">
        <v>14.52</v>
      </c>
      <c r="D29" s="257">
        <v>13.79</v>
      </c>
      <c r="E29" s="257">
        <v>9.68</v>
      </c>
      <c r="F29" s="237">
        <v>8.3800000000000008</v>
      </c>
      <c r="G29" s="257">
        <v>9.2799999999999994</v>
      </c>
      <c r="H29" s="257">
        <v>8.39</v>
      </c>
      <c r="I29" s="257">
        <v>7.91</v>
      </c>
      <c r="J29" s="257">
        <v>5.86</v>
      </c>
      <c r="K29" s="257">
        <v>6.14</v>
      </c>
      <c r="L29" s="257">
        <v>8.16</v>
      </c>
      <c r="M29" s="257">
        <v>9.5500000000000007</v>
      </c>
      <c r="N29" s="257">
        <v>10.11</v>
      </c>
      <c r="O29" s="257">
        <v>10.86</v>
      </c>
      <c r="P29" s="1037"/>
      <c r="Q29" s="1076">
        <f t="shared" si="6"/>
        <v>9.4330769230769214</v>
      </c>
      <c r="R29" s="1077">
        <f t="shared" si="7"/>
        <v>14.52</v>
      </c>
      <c r="S29" s="1077">
        <f t="shared" si="8"/>
        <v>7.6683333333333339</v>
      </c>
    </row>
    <row r="30" spans="1:24">
      <c r="A30" s="118" t="s">
        <v>237</v>
      </c>
      <c r="B30" s="257"/>
      <c r="C30" s="257">
        <v>11.6</v>
      </c>
      <c r="D30" s="257">
        <v>13.82</v>
      </c>
      <c r="E30" s="257">
        <v>9.34</v>
      </c>
      <c r="F30" s="237">
        <v>8.2799999999999994</v>
      </c>
      <c r="G30" s="257">
        <v>9.1</v>
      </c>
      <c r="H30" s="257">
        <v>8.18</v>
      </c>
      <c r="I30" s="257">
        <v>7.43</v>
      </c>
      <c r="J30" s="257">
        <v>5.88</v>
      </c>
      <c r="K30" s="257">
        <v>6.17</v>
      </c>
      <c r="L30" s="257">
        <v>7.97</v>
      </c>
      <c r="M30" s="257">
        <v>9.1</v>
      </c>
      <c r="N30" s="257">
        <v>10.130000000000001</v>
      </c>
      <c r="O30" s="257">
        <v>11.05</v>
      </c>
      <c r="P30" s="1037"/>
      <c r="Q30" s="1076">
        <f t="shared" si="6"/>
        <v>9.0807692307692296</v>
      </c>
      <c r="R30" s="1077">
        <f t="shared" si="7"/>
        <v>13.82</v>
      </c>
      <c r="S30" s="1077">
        <f t="shared" si="8"/>
        <v>7.4549999999999992</v>
      </c>
    </row>
    <row r="31" spans="1:24">
      <c r="A31" s="118" t="s">
        <v>141</v>
      </c>
      <c r="B31" s="257"/>
      <c r="C31" s="257">
        <v>9.83</v>
      </c>
      <c r="D31" s="257">
        <v>13.76</v>
      </c>
      <c r="E31" s="257">
        <v>8.85</v>
      </c>
      <c r="F31" s="237">
        <v>8.36</v>
      </c>
      <c r="G31" s="257">
        <v>9.09</v>
      </c>
      <c r="H31" s="257">
        <v>7.73</v>
      </c>
      <c r="I31" s="257">
        <v>7.37</v>
      </c>
      <c r="J31" s="257">
        <v>5.7</v>
      </c>
      <c r="K31" s="257">
        <v>6.07</v>
      </c>
      <c r="L31" s="257">
        <v>7.65</v>
      </c>
      <c r="M31" s="257">
        <v>9.32</v>
      </c>
      <c r="N31" s="257">
        <v>9.09</v>
      </c>
      <c r="O31" s="257">
        <v>11.5</v>
      </c>
      <c r="P31" s="1037"/>
      <c r="Q31" s="1076">
        <f t="shared" si="6"/>
        <v>8.7938461538461556</v>
      </c>
      <c r="R31" s="1077">
        <f t="shared" si="7"/>
        <v>13.76</v>
      </c>
      <c r="S31" s="1077">
        <f t="shared" si="8"/>
        <v>7.3066666666666675</v>
      </c>
    </row>
    <row r="32" spans="1:24">
      <c r="A32" s="118" t="s">
        <v>238</v>
      </c>
      <c r="B32" s="257"/>
      <c r="C32" s="257">
        <v>8.33</v>
      </c>
      <c r="D32" s="257">
        <v>13.95</v>
      </c>
      <c r="E32" s="257">
        <v>8.5500000000000007</v>
      </c>
      <c r="F32" s="237">
        <v>8.4600000000000009</v>
      </c>
      <c r="G32" s="257">
        <v>8.85</v>
      </c>
      <c r="H32" s="257">
        <v>7.59</v>
      </c>
      <c r="I32" s="257">
        <v>7.3</v>
      </c>
      <c r="J32" s="257">
        <v>5.7</v>
      </c>
      <c r="K32" s="257">
        <v>6.04</v>
      </c>
      <c r="L32" s="257">
        <v>7.46</v>
      </c>
      <c r="M32" s="257">
        <v>9.3800000000000008</v>
      </c>
      <c r="N32" s="257">
        <v>8.36</v>
      </c>
      <c r="O32" s="257">
        <v>11.51</v>
      </c>
      <c r="P32" s="1037"/>
      <c r="Q32" s="1076">
        <f t="shared" si="6"/>
        <v>8.5753846153846158</v>
      </c>
      <c r="R32" s="1077">
        <f t="shared" si="7"/>
        <v>13.95</v>
      </c>
      <c r="S32" s="1077">
        <f t="shared" si="8"/>
        <v>7.2450000000000001</v>
      </c>
    </row>
    <row r="33" spans="1:19">
      <c r="A33" s="118" t="s">
        <v>142</v>
      </c>
      <c r="B33" s="257"/>
      <c r="C33" s="257">
        <v>7.75</v>
      </c>
      <c r="D33" s="257">
        <v>12.5</v>
      </c>
      <c r="E33" s="257">
        <v>8.5399999999999991</v>
      </c>
      <c r="F33" s="237">
        <v>8.27</v>
      </c>
      <c r="G33" s="257">
        <v>9.1199999999999992</v>
      </c>
      <c r="H33" s="257">
        <v>7.48</v>
      </c>
      <c r="I33" s="257">
        <v>7.28</v>
      </c>
      <c r="J33" s="257">
        <v>5.87</v>
      </c>
      <c r="K33" s="257">
        <v>5.86</v>
      </c>
      <c r="L33" s="257">
        <v>7.31</v>
      </c>
      <c r="M33" s="257">
        <v>9.08</v>
      </c>
      <c r="N33" s="257">
        <v>7.52</v>
      </c>
      <c r="O33" s="257">
        <v>11.51</v>
      </c>
      <c r="P33" s="1037"/>
      <c r="Q33" s="1076">
        <f t="shared" si="6"/>
        <v>8.3146153846153847</v>
      </c>
      <c r="R33" s="1077">
        <f t="shared" si="7"/>
        <v>12.5</v>
      </c>
      <c r="S33" s="1077">
        <f t="shared" si="8"/>
        <v>7.1466666666666674</v>
      </c>
    </row>
    <row r="34" spans="1:19">
      <c r="A34" s="118" t="s">
        <v>143</v>
      </c>
      <c r="B34" s="257"/>
      <c r="C34" s="257">
        <v>6.75</v>
      </c>
      <c r="D34" s="257"/>
      <c r="E34" s="257">
        <v>7.69</v>
      </c>
      <c r="F34" s="237">
        <v>8.32</v>
      </c>
      <c r="G34" s="257">
        <v>8.9</v>
      </c>
      <c r="H34" s="257">
        <v>7.15</v>
      </c>
      <c r="I34" s="257">
        <v>7.22</v>
      </c>
      <c r="J34" s="257">
        <v>5.87</v>
      </c>
      <c r="K34" s="257">
        <v>5.85</v>
      </c>
      <c r="L34" s="257">
        <v>7.61</v>
      </c>
      <c r="M34" s="257">
        <v>9.15</v>
      </c>
      <c r="N34" s="257">
        <v>7.41</v>
      </c>
      <c r="O34" s="257">
        <v>11.58</v>
      </c>
      <c r="P34" s="1037"/>
      <c r="Q34" s="1076">
        <f t="shared" si="6"/>
        <v>7.791666666666667</v>
      </c>
      <c r="R34" s="1077">
        <f t="shared" si="7"/>
        <v>11.58</v>
      </c>
      <c r="S34" s="1077">
        <f t="shared" si="8"/>
        <v>7.1416666666666666</v>
      </c>
    </row>
    <row r="35" spans="1:19">
      <c r="A35" s="118" t="s">
        <v>144</v>
      </c>
      <c r="B35" s="257"/>
      <c r="C35" s="257">
        <v>5.72</v>
      </c>
      <c r="D35" s="257"/>
      <c r="E35" s="257">
        <v>6.49</v>
      </c>
      <c r="F35" s="237">
        <v>7.75</v>
      </c>
      <c r="G35" s="257">
        <v>8.17</v>
      </c>
      <c r="H35" s="257">
        <v>6.87</v>
      </c>
      <c r="I35" s="257">
        <v>5.6</v>
      </c>
      <c r="J35" s="257">
        <v>5.46</v>
      </c>
      <c r="K35" s="257">
        <v>5.69</v>
      </c>
      <c r="L35" s="257">
        <v>7.56</v>
      </c>
      <c r="M35" s="257">
        <v>8.8000000000000007</v>
      </c>
      <c r="N35" s="257">
        <v>7.36</v>
      </c>
      <c r="O35" s="257">
        <v>11.38</v>
      </c>
      <c r="P35" s="1037"/>
      <c r="Q35" s="1076">
        <f t="shared" si="6"/>
        <v>7.2374999999999998</v>
      </c>
      <c r="R35" s="1077">
        <f t="shared" si="7"/>
        <v>11.38</v>
      </c>
      <c r="S35" s="1077">
        <f t="shared" si="8"/>
        <v>6.663333333333334</v>
      </c>
    </row>
    <row r="36" spans="1:19">
      <c r="A36" s="118" t="s">
        <v>145</v>
      </c>
      <c r="B36" s="257"/>
      <c r="C36" s="257"/>
      <c r="D36" s="257"/>
      <c r="E36" s="257"/>
      <c r="F36" s="257"/>
      <c r="G36" s="257">
        <v>7.64</v>
      </c>
      <c r="H36" s="257">
        <v>6.33</v>
      </c>
      <c r="I36" s="257"/>
      <c r="J36" s="257">
        <v>4.28</v>
      </c>
      <c r="K36" s="257">
        <v>4.51</v>
      </c>
      <c r="L36" s="257">
        <v>7.28</v>
      </c>
      <c r="M36" s="257">
        <v>7.91</v>
      </c>
      <c r="N36" s="257">
        <v>7.14</v>
      </c>
      <c r="O36" s="257">
        <v>11.24</v>
      </c>
      <c r="P36" s="1037"/>
      <c r="Q36" s="1076">
        <f t="shared" si="6"/>
        <v>7.0412500000000007</v>
      </c>
      <c r="R36" s="1077">
        <f t="shared" si="7"/>
        <v>11.24</v>
      </c>
      <c r="S36" s="1077">
        <f t="shared" si="8"/>
        <v>6.0619999999999994</v>
      </c>
    </row>
    <row r="37" spans="1:19">
      <c r="A37" s="118" t="s">
        <v>146</v>
      </c>
      <c r="B37" s="257"/>
      <c r="C37" s="257"/>
      <c r="D37" s="257"/>
      <c r="E37" s="257"/>
      <c r="F37" s="257"/>
      <c r="G37" s="257">
        <v>7.44</v>
      </c>
      <c r="H37" s="257">
        <v>5.17</v>
      </c>
      <c r="I37" s="257"/>
      <c r="J37" s="257">
        <v>2.92</v>
      </c>
      <c r="K37" s="257">
        <v>2.2599999999999998</v>
      </c>
      <c r="L37" s="257"/>
      <c r="M37" s="257">
        <v>5.75</v>
      </c>
      <c r="N37" s="257"/>
      <c r="O37" s="257"/>
      <c r="P37" s="1037"/>
      <c r="Q37" s="1076">
        <f>AVERAGE(B37:O37)</f>
        <v>4.7080000000000002</v>
      </c>
      <c r="R37" s="1077">
        <f>MAX(B37:O37)</f>
        <v>7.44</v>
      </c>
      <c r="S37" s="1077">
        <f t="shared" si="8"/>
        <v>4.0250000000000004</v>
      </c>
    </row>
    <row r="38" spans="1:19">
      <c r="A38" s="118" t="s">
        <v>304</v>
      </c>
      <c r="B38" s="257"/>
      <c r="C38" s="257">
        <f>AVERAGE(C26:C29)</f>
        <v>16.357499999999998</v>
      </c>
      <c r="D38" s="257">
        <f t="shared" ref="D38:O38" si="9">AVERAGE(D26:D29)</f>
        <v>13.635</v>
      </c>
      <c r="E38" s="257">
        <f t="shared" si="9"/>
        <v>11.547499999999999</v>
      </c>
      <c r="F38" s="257">
        <f t="shared" si="9"/>
        <v>8.5900000000000016</v>
      </c>
      <c r="G38" s="257">
        <f t="shared" si="9"/>
        <v>9.3249999999999993</v>
      </c>
      <c r="H38" s="257">
        <f t="shared" si="9"/>
        <v>8.7225000000000001</v>
      </c>
      <c r="I38" s="257">
        <f t="shared" si="9"/>
        <v>8.1275000000000013</v>
      </c>
      <c r="J38" s="257">
        <f t="shared" si="9"/>
        <v>5.9124999999999996</v>
      </c>
      <c r="K38" s="257">
        <f t="shared" si="9"/>
        <v>6.0325000000000006</v>
      </c>
      <c r="L38" s="257">
        <f t="shared" si="9"/>
        <v>8.43</v>
      </c>
      <c r="M38" s="257">
        <f t="shared" si="9"/>
        <v>9.6074999999999999</v>
      </c>
      <c r="N38" s="257">
        <f t="shared" si="9"/>
        <v>10.465</v>
      </c>
      <c r="O38" s="257">
        <f t="shared" si="9"/>
        <v>11.477499999999999</v>
      </c>
      <c r="P38" s="257"/>
      <c r="Q38" s="1072">
        <f>AVERAGE(Q26:Q29)</f>
        <v>9.8638461538461542</v>
      </c>
      <c r="R38" s="1072">
        <f>AVERAGE(R26:R29)</f>
        <v>16.357499999999998</v>
      </c>
      <c r="S38" s="1072">
        <f>AVERAGE(S26:S29)</f>
        <v>7.8054166666666669</v>
      </c>
    </row>
    <row r="39" spans="1:19">
      <c r="A39" s="118" t="s">
        <v>302</v>
      </c>
      <c r="B39" s="257"/>
      <c r="C39" s="257">
        <f>AVERAGE(C26:C37)</f>
        <v>11.540999999999999</v>
      </c>
      <c r="D39" s="257">
        <f t="shared" ref="D39:O39" si="10">AVERAGE(D26:D37)</f>
        <v>13.571250000000001</v>
      </c>
      <c r="E39" s="257">
        <f t="shared" si="10"/>
        <v>9.5649999999999995</v>
      </c>
      <c r="F39" s="257">
        <f t="shared" si="10"/>
        <v>8.3800000000000008</v>
      </c>
      <c r="G39" s="257">
        <f t="shared" si="10"/>
        <v>8.8008333333333333</v>
      </c>
      <c r="H39" s="257">
        <f t="shared" si="10"/>
        <v>7.6158333333333346</v>
      </c>
      <c r="I39" s="257">
        <f t="shared" si="10"/>
        <v>7.4709999999999992</v>
      </c>
      <c r="J39" s="257">
        <f t="shared" si="10"/>
        <v>5.4441666666666668</v>
      </c>
      <c r="K39" s="257">
        <f t="shared" si="10"/>
        <v>5.5483333333333347</v>
      </c>
      <c r="L39" s="257">
        <f t="shared" si="10"/>
        <v>7.8690909090909091</v>
      </c>
      <c r="M39" s="257">
        <f t="shared" si="10"/>
        <v>8.91</v>
      </c>
      <c r="N39" s="257">
        <f t="shared" si="10"/>
        <v>8.9881818181818165</v>
      </c>
      <c r="O39" s="257">
        <f t="shared" si="10"/>
        <v>11.425454545454544</v>
      </c>
      <c r="P39" s="257"/>
      <c r="Q39" s="1072">
        <f>AVERAGE(Q26:Q37)</f>
        <v>8.416534722222222</v>
      </c>
      <c r="R39" s="1072">
        <f>AVERAGE(R26:R37)</f>
        <v>13.425000000000002</v>
      </c>
      <c r="S39" s="1072">
        <f>AVERAGE(S26:S37)</f>
        <v>7.0222500000000005</v>
      </c>
    </row>
    <row r="40" spans="1:19" ht="15.5">
      <c r="A40" s="2304" t="s">
        <v>293</v>
      </c>
      <c r="B40" s="2305"/>
      <c r="C40" s="2305"/>
      <c r="D40" s="2305"/>
      <c r="E40" s="2305"/>
      <c r="F40" s="2305"/>
      <c r="G40" s="2305"/>
      <c r="H40" s="2305"/>
      <c r="I40" s="2305"/>
      <c r="J40" s="2305"/>
      <c r="K40" s="2305"/>
      <c r="L40" s="2305"/>
      <c r="M40" s="2305"/>
      <c r="N40" s="2305"/>
      <c r="O40" s="2305"/>
      <c r="P40" s="2305"/>
      <c r="Q40" s="2305"/>
      <c r="R40" s="2305"/>
      <c r="S40" s="2306"/>
    </row>
    <row r="41" spans="1:19">
      <c r="A41" s="118" t="s">
        <v>235</v>
      </c>
      <c r="B41" s="257"/>
      <c r="C41" s="257">
        <v>17.66</v>
      </c>
      <c r="D41" s="257">
        <v>13.55</v>
      </c>
      <c r="E41" s="257">
        <v>12.48</v>
      </c>
      <c r="F41" s="257">
        <v>8.6999999999999993</v>
      </c>
      <c r="G41" s="257">
        <v>9.5399999999999991</v>
      </c>
      <c r="H41" s="257">
        <v>8.4</v>
      </c>
      <c r="I41" s="257">
        <v>7.68</v>
      </c>
      <c r="J41" s="257">
        <v>5.64</v>
      </c>
      <c r="K41" s="257">
        <v>6.2</v>
      </c>
      <c r="L41" s="257">
        <v>8.15</v>
      </c>
      <c r="M41" s="257">
        <v>9.35</v>
      </c>
      <c r="N41" s="257">
        <v>11.08</v>
      </c>
      <c r="O41" s="257">
        <v>11.86</v>
      </c>
      <c r="P41" s="1037"/>
      <c r="Q41" s="1076">
        <f t="shared" ref="Q41:Q49" si="11">AVERAGE(B41:P41)</f>
        <v>10.022307692307692</v>
      </c>
      <c r="R41" s="1077">
        <f t="shared" ref="R41:R49" si="12">MAX(B41:P41)</f>
        <v>17.66</v>
      </c>
      <c r="S41" s="1077">
        <f t="shared" ref="S41:S49" si="13">AVERAGE(H41:M41)</f>
        <v>7.57</v>
      </c>
    </row>
    <row r="42" spans="1:19">
      <c r="A42" s="118" t="s">
        <v>139</v>
      </c>
      <c r="B42" s="257"/>
      <c r="C42" s="257">
        <v>15.76</v>
      </c>
      <c r="D42" s="257">
        <v>13.43</v>
      </c>
      <c r="E42" s="257">
        <v>12.21</v>
      </c>
      <c r="F42" s="257">
        <v>8.85</v>
      </c>
      <c r="G42" s="257">
        <v>9.34</v>
      </c>
      <c r="H42" s="257">
        <v>8.56</v>
      </c>
      <c r="I42" s="257">
        <v>7.53</v>
      </c>
      <c r="J42" s="257">
        <v>5.86</v>
      </c>
      <c r="K42" s="257">
        <v>5.87</v>
      </c>
      <c r="L42" s="257">
        <v>7.92</v>
      </c>
      <c r="M42" s="257">
        <v>9.41</v>
      </c>
      <c r="N42" s="257">
        <v>11.05</v>
      </c>
      <c r="O42" s="257">
        <v>11.7</v>
      </c>
      <c r="P42" s="1037"/>
      <c r="Q42" s="1076">
        <f t="shared" si="11"/>
        <v>9.8069230769230771</v>
      </c>
      <c r="R42" s="1077">
        <f t="shared" si="12"/>
        <v>15.76</v>
      </c>
      <c r="S42" s="1077">
        <f t="shared" si="13"/>
        <v>7.5250000000000012</v>
      </c>
    </row>
    <row r="43" spans="1:19">
      <c r="A43" s="118" t="s">
        <v>236</v>
      </c>
      <c r="B43" s="257"/>
      <c r="C43" s="257">
        <v>15.01</v>
      </c>
      <c r="D43" s="257">
        <v>13.62</v>
      </c>
      <c r="E43" s="257">
        <v>12.28</v>
      </c>
      <c r="F43" s="257">
        <v>8.56</v>
      </c>
      <c r="G43" s="257">
        <v>9.44</v>
      </c>
      <c r="H43" s="257">
        <v>8.39</v>
      </c>
      <c r="I43" s="257">
        <v>7.42</v>
      </c>
      <c r="J43" s="257">
        <v>5.92</v>
      </c>
      <c r="K43" s="257">
        <v>5.78</v>
      </c>
      <c r="L43" s="257">
        <v>7.62</v>
      </c>
      <c r="M43" s="257">
        <v>9.48</v>
      </c>
      <c r="N43" s="257">
        <v>11.05</v>
      </c>
      <c r="O43" s="257">
        <v>11.87</v>
      </c>
      <c r="P43" s="1037"/>
      <c r="Q43" s="1076">
        <f t="shared" si="11"/>
        <v>9.7261538461538475</v>
      </c>
      <c r="R43" s="1077">
        <f t="shared" si="12"/>
        <v>15.01</v>
      </c>
      <c r="S43" s="1077">
        <f t="shared" si="13"/>
        <v>7.4349999999999996</v>
      </c>
    </row>
    <row r="44" spans="1:19">
      <c r="A44" s="118" t="s">
        <v>140</v>
      </c>
      <c r="B44" s="257"/>
      <c r="C44" s="257">
        <v>14.22</v>
      </c>
      <c r="D44" s="257">
        <v>13.67</v>
      </c>
      <c r="E44" s="257">
        <v>12.46</v>
      </c>
      <c r="F44" s="257">
        <v>8.69</v>
      </c>
      <c r="G44" s="257">
        <v>9.5500000000000007</v>
      </c>
      <c r="H44" s="257">
        <v>8.32</v>
      </c>
      <c r="I44" s="257">
        <v>7.31</v>
      </c>
      <c r="J44" s="257">
        <v>5.78</v>
      </c>
      <c r="K44" s="257">
        <v>5.87</v>
      </c>
      <c r="L44" s="257">
        <v>7.19</v>
      </c>
      <c r="M44" s="257">
        <v>9.35</v>
      </c>
      <c r="N44" s="257">
        <v>10.82</v>
      </c>
      <c r="O44" s="257">
        <v>11.81</v>
      </c>
      <c r="P44" s="1037"/>
      <c r="Q44" s="1076">
        <f t="shared" si="11"/>
        <v>9.6184615384615384</v>
      </c>
      <c r="R44" s="1077">
        <f t="shared" si="12"/>
        <v>14.22</v>
      </c>
      <c r="S44" s="1077">
        <f t="shared" si="13"/>
        <v>7.3033333333333337</v>
      </c>
    </row>
    <row r="45" spans="1:19">
      <c r="A45" s="118" t="s">
        <v>237</v>
      </c>
      <c r="B45" s="257"/>
      <c r="C45" s="257">
        <v>12.82</v>
      </c>
      <c r="D45" s="257">
        <v>13.15</v>
      </c>
      <c r="E45" s="257">
        <v>12.22</v>
      </c>
      <c r="F45" s="257">
        <v>8.66</v>
      </c>
      <c r="G45" s="257">
        <v>9.51</v>
      </c>
      <c r="H45" s="257">
        <v>8.25</v>
      </c>
      <c r="I45" s="257">
        <v>7.28</v>
      </c>
      <c r="J45" s="257">
        <v>5.73</v>
      </c>
      <c r="K45" s="257">
        <v>5.58</v>
      </c>
      <c r="L45" s="257">
        <v>6.91</v>
      </c>
      <c r="M45" s="257">
        <v>9.2200000000000006</v>
      </c>
      <c r="N45" s="257">
        <v>10.63</v>
      </c>
      <c r="O45" s="257">
        <v>11.76</v>
      </c>
      <c r="P45" s="1037"/>
      <c r="Q45" s="1076">
        <f t="shared" si="11"/>
        <v>9.3630769230769211</v>
      </c>
      <c r="R45" s="1077">
        <f t="shared" si="12"/>
        <v>13.15</v>
      </c>
      <c r="S45" s="1077">
        <f t="shared" si="13"/>
        <v>7.1616666666666662</v>
      </c>
    </row>
    <row r="46" spans="1:19">
      <c r="A46" s="118" t="s">
        <v>141</v>
      </c>
      <c r="B46" s="257"/>
      <c r="C46" s="257">
        <v>7.51</v>
      </c>
      <c r="D46" s="257">
        <v>13.36</v>
      </c>
      <c r="E46" s="257">
        <v>10.25</v>
      </c>
      <c r="F46" s="257">
        <v>8.56</v>
      </c>
      <c r="G46" s="257">
        <v>9.8800000000000008</v>
      </c>
      <c r="H46" s="257">
        <v>8.23</v>
      </c>
      <c r="I46" s="257">
        <v>7.43</v>
      </c>
      <c r="J46" s="257">
        <v>5.82</v>
      </c>
      <c r="K46" s="257">
        <v>5.61</v>
      </c>
      <c r="L46" s="257">
        <v>6.8</v>
      </c>
      <c r="M46" s="257">
        <v>8.56</v>
      </c>
      <c r="N46" s="257">
        <v>9.44</v>
      </c>
      <c r="O46" s="257">
        <v>11.52</v>
      </c>
      <c r="P46" s="1037"/>
      <c r="Q46" s="1076">
        <f t="shared" si="11"/>
        <v>8.69</v>
      </c>
      <c r="R46" s="1077">
        <f t="shared" si="12"/>
        <v>13.36</v>
      </c>
      <c r="S46" s="1077">
        <f t="shared" si="13"/>
        <v>7.0750000000000002</v>
      </c>
    </row>
    <row r="47" spans="1:19">
      <c r="A47" s="118" t="s">
        <v>238</v>
      </c>
      <c r="B47" s="257"/>
      <c r="C47" s="257">
        <v>7.96</v>
      </c>
      <c r="D47" s="257">
        <v>13.22</v>
      </c>
      <c r="E47" s="257">
        <v>9.4499999999999993</v>
      </c>
      <c r="F47" s="257">
        <v>8.5500000000000007</v>
      </c>
      <c r="G47" s="257">
        <v>9.4</v>
      </c>
      <c r="H47" s="257">
        <v>8.0500000000000007</v>
      </c>
      <c r="I47" s="257">
        <v>7.52</v>
      </c>
      <c r="J47" s="257">
        <v>5.73</v>
      </c>
      <c r="K47" s="257">
        <v>5.35</v>
      </c>
      <c r="L47" s="257">
        <v>6.91</v>
      </c>
      <c r="M47" s="257">
        <v>8.7200000000000006</v>
      </c>
      <c r="N47" s="257">
        <v>9.5</v>
      </c>
      <c r="O47" s="257">
        <v>10.94</v>
      </c>
      <c r="P47" s="1037"/>
      <c r="Q47" s="1076">
        <f t="shared" si="11"/>
        <v>8.5615384615384595</v>
      </c>
      <c r="R47" s="1077">
        <f t="shared" si="12"/>
        <v>13.22</v>
      </c>
      <c r="S47" s="1077">
        <f t="shared" si="13"/>
        <v>7.0466666666666669</v>
      </c>
    </row>
    <row r="48" spans="1:19">
      <c r="A48" s="118" t="s">
        <v>142</v>
      </c>
      <c r="B48" s="257"/>
      <c r="C48" s="257">
        <v>7.19</v>
      </c>
      <c r="D48" s="257">
        <v>13.17</v>
      </c>
      <c r="E48" s="257">
        <v>9.42</v>
      </c>
      <c r="F48" s="257">
        <v>8.5500000000000007</v>
      </c>
      <c r="G48" s="257">
        <v>9.11</v>
      </c>
      <c r="H48" s="257">
        <v>7.95</v>
      </c>
      <c r="I48" s="257">
        <v>7.42</v>
      </c>
      <c r="J48" s="257">
        <v>5.82</v>
      </c>
      <c r="K48" s="257">
        <v>5.33</v>
      </c>
      <c r="L48" s="257">
        <v>6.91</v>
      </c>
      <c r="M48" s="257">
        <v>8.6199999999999992</v>
      </c>
      <c r="N48" s="257">
        <v>8.9600000000000009</v>
      </c>
      <c r="O48" s="257">
        <v>10.73</v>
      </c>
      <c r="P48" s="1037"/>
      <c r="Q48" s="1076">
        <f t="shared" si="11"/>
        <v>8.3984615384615378</v>
      </c>
      <c r="R48" s="1077">
        <f t="shared" si="12"/>
        <v>13.17</v>
      </c>
      <c r="S48" s="1077">
        <f t="shared" si="13"/>
        <v>7.0083333333333337</v>
      </c>
    </row>
    <row r="49" spans="1:19">
      <c r="A49" s="118" t="s">
        <v>143</v>
      </c>
      <c r="B49" s="257"/>
      <c r="C49" s="257">
        <v>8.01</v>
      </c>
      <c r="D49" s="257"/>
      <c r="E49" s="257">
        <v>8.91</v>
      </c>
      <c r="F49" s="257">
        <v>8.5</v>
      </c>
      <c r="G49" s="257">
        <v>9.42</v>
      </c>
      <c r="H49" s="257">
        <v>7.44</v>
      </c>
      <c r="I49" s="257">
        <v>7.02</v>
      </c>
      <c r="J49" s="257">
        <v>5.03</v>
      </c>
      <c r="K49" s="257">
        <v>5.37</v>
      </c>
      <c r="L49" s="257">
        <v>6</v>
      </c>
      <c r="M49" s="257">
        <v>8.2200000000000006</v>
      </c>
      <c r="N49" s="257"/>
      <c r="O49" s="257"/>
      <c r="P49" s="1037"/>
      <c r="Q49" s="1076">
        <f t="shared" si="11"/>
        <v>7.3919999999999986</v>
      </c>
      <c r="R49" s="1077">
        <f t="shared" si="12"/>
        <v>9.42</v>
      </c>
      <c r="S49" s="1077">
        <f t="shared" si="13"/>
        <v>6.5133333333333345</v>
      </c>
    </row>
    <row r="50" spans="1:19">
      <c r="A50" s="118" t="s">
        <v>304</v>
      </c>
      <c r="B50" s="257"/>
      <c r="C50" s="257">
        <f>AVERAGE(C41:C44)</f>
        <v>15.6625</v>
      </c>
      <c r="D50" s="257">
        <f t="shared" ref="D50:O50" si="14">AVERAGE(D41:D44)</f>
        <v>13.567500000000001</v>
      </c>
      <c r="E50" s="257">
        <f t="shared" si="14"/>
        <v>12.3575</v>
      </c>
      <c r="F50" s="257">
        <f t="shared" si="14"/>
        <v>8.6999999999999993</v>
      </c>
      <c r="G50" s="257">
        <f t="shared" si="14"/>
        <v>9.4675000000000011</v>
      </c>
      <c r="H50" s="257">
        <f t="shared" si="14"/>
        <v>8.4175000000000004</v>
      </c>
      <c r="I50" s="257">
        <f t="shared" si="14"/>
        <v>7.4850000000000003</v>
      </c>
      <c r="J50" s="257">
        <f t="shared" si="14"/>
        <v>5.8000000000000007</v>
      </c>
      <c r="K50" s="257">
        <f t="shared" si="14"/>
        <v>5.9300000000000006</v>
      </c>
      <c r="L50" s="257">
        <f t="shared" si="14"/>
        <v>7.7200000000000006</v>
      </c>
      <c r="M50" s="257">
        <f t="shared" si="14"/>
        <v>9.3974999999999991</v>
      </c>
      <c r="N50" s="257">
        <f t="shared" si="14"/>
        <v>11.000000000000002</v>
      </c>
      <c r="O50" s="257">
        <f t="shared" si="14"/>
        <v>11.81</v>
      </c>
      <c r="P50" s="257"/>
      <c r="Q50" s="1072">
        <f>AVERAGE(Q41:Q44)</f>
        <v>9.7934615384615391</v>
      </c>
      <c r="R50" s="1072">
        <f>AVERAGE(R41:R44)</f>
        <v>15.6625</v>
      </c>
      <c r="S50" s="1072">
        <f>AVERAGE(S41:S44)</f>
        <v>7.4583333333333339</v>
      </c>
    </row>
    <row r="51" spans="1:19">
      <c r="A51" s="118" t="s">
        <v>302</v>
      </c>
      <c r="B51" s="257"/>
      <c r="C51" s="257">
        <f>AVERAGE(C41:C49)</f>
        <v>11.793333333333333</v>
      </c>
      <c r="D51" s="257">
        <f t="shared" ref="D51:O51" si="15">AVERAGE(D41:D49)</f>
        <v>13.39625</v>
      </c>
      <c r="E51" s="257">
        <f t="shared" si="15"/>
        <v>11.075555555555557</v>
      </c>
      <c r="F51" s="257">
        <f t="shared" si="15"/>
        <v>8.6244444444444426</v>
      </c>
      <c r="G51" s="257">
        <f t="shared" si="15"/>
        <v>9.4655555555555573</v>
      </c>
      <c r="H51" s="257">
        <f t="shared" si="15"/>
        <v>8.1766666666666676</v>
      </c>
      <c r="I51" s="257">
        <f t="shared" si="15"/>
        <v>7.4011111111111108</v>
      </c>
      <c r="J51" s="257">
        <f t="shared" si="15"/>
        <v>5.703333333333334</v>
      </c>
      <c r="K51" s="257">
        <f t="shared" si="15"/>
        <v>5.6622222222222227</v>
      </c>
      <c r="L51" s="257">
        <f t="shared" si="15"/>
        <v>7.1566666666666663</v>
      </c>
      <c r="M51" s="257">
        <f t="shared" si="15"/>
        <v>8.9922222222222228</v>
      </c>
      <c r="N51" s="257">
        <f t="shared" si="15"/>
        <v>10.31625</v>
      </c>
      <c r="O51" s="257">
        <f t="shared" si="15"/>
        <v>11.52375</v>
      </c>
      <c r="P51" s="257"/>
      <c r="Q51" s="1072">
        <f t="shared" ref="Q51:S51" si="16">AVERAGE(Q41:Q49)</f>
        <v>9.064324786324784</v>
      </c>
      <c r="R51" s="1072">
        <f t="shared" si="16"/>
        <v>13.885555555555555</v>
      </c>
      <c r="S51" s="1072">
        <f t="shared" si="16"/>
        <v>7.1820370370370377</v>
      </c>
    </row>
    <row r="52" spans="1:19" ht="15.5">
      <c r="A52" s="2240"/>
      <c r="B52" s="2240"/>
      <c r="C52" s="2240"/>
      <c r="D52" s="2240"/>
      <c r="E52" s="2240"/>
      <c r="F52" s="2240"/>
      <c r="G52" s="2240"/>
      <c r="H52" s="2240"/>
      <c r="I52" s="2240"/>
      <c r="J52" s="2240"/>
      <c r="K52" s="2240"/>
      <c r="L52" s="2240"/>
      <c r="M52" s="2240"/>
      <c r="N52" s="2240"/>
      <c r="O52" s="2240"/>
      <c r="P52" s="2240"/>
      <c r="Q52" s="2240"/>
      <c r="R52" s="2240"/>
      <c r="S52" s="2240"/>
    </row>
    <row r="53" spans="1:19">
      <c r="A53" s="80"/>
      <c r="B53" s="471"/>
      <c r="C53" s="471"/>
      <c r="D53" s="471"/>
      <c r="E53" s="471"/>
      <c r="F53" s="471"/>
      <c r="G53" s="471"/>
      <c r="H53" s="471"/>
      <c r="I53" s="471"/>
      <c r="J53" s="471"/>
      <c r="K53" s="471"/>
      <c r="L53" s="471"/>
      <c r="M53" s="471"/>
      <c r="N53" s="471"/>
      <c r="O53" s="471"/>
      <c r="P53" s="471"/>
      <c r="Q53" s="473"/>
      <c r="R53" s="473"/>
      <c r="S53" s="473"/>
    </row>
    <row r="54" spans="1:19">
      <c r="A54" s="80"/>
      <c r="B54" s="471"/>
      <c r="C54" s="471"/>
      <c r="D54" s="471"/>
      <c r="E54" s="471"/>
      <c r="F54" s="471"/>
      <c r="G54" s="471"/>
      <c r="H54" s="471"/>
      <c r="I54" s="471"/>
      <c r="J54" s="471"/>
      <c r="K54" s="471"/>
      <c r="L54" s="471"/>
      <c r="M54" s="471"/>
      <c r="N54" s="471"/>
      <c r="O54" s="471"/>
      <c r="P54" s="471"/>
      <c r="Q54" s="473"/>
      <c r="R54" s="473"/>
      <c r="S54" s="473"/>
    </row>
    <row r="55" spans="1:19">
      <c r="A55" s="80"/>
      <c r="B55" s="471"/>
      <c r="C55" s="471"/>
      <c r="D55" s="471"/>
      <c r="E55" s="471"/>
      <c r="F55" s="471"/>
      <c r="G55" s="471"/>
      <c r="H55" s="471"/>
      <c r="I55" s="471"/>
      <c r="J55" s="471"/>
      <c r="K55" s="471"/>
      <c r="L55" s="471"/>
      <c r="M55" s="471"/>
      <c r="N55" s="471"/>
      <c r="O55" s="471"/>
      <c r="P55" s="471"/>
      <c r="Q55" s="473"/>
      <c r="R55" s="473"/>
      <c r="S55" s="473"/>
    </row>
    <row r="56" spans="1:19">
      <c r="A56" s="80"/>
      <c r="B56" s="471"/>
      <c r="C56" s="471"/>
      <c r="D56" s="471"/>
      <c r="E56" s="471"/>
      <c r="F56" s="471"/>
      <c r="G56" s="471"/>
      <c r="H56" s="471"/>
      <c r="I56" s="471"/>
      <c r="J56" s="471"/>
      <c r="K56" s="471"/>
      <c r="L56" s="471"/>
      <c r="M56" s="471"/>
      <c r="N56" s="471"/>
      <c r="O56" s="471"/>
      <c r="P56" s="471"/>
      <c r="Q56" s="473"/>
      <c r="R56" s="473"/>
      <c r="S56" s="473"/>
    </row>
    <row r="57" spans="1:19">
      <c r="A57" s="80"/>
      <c r="B57" s="471"/>
      <c r="C57" s="471"/>
      <c r="D57" s="471"/>
      <c r="E57" s="471"/>
      <c r="F57" s="471"/>
      <c r="G57" s="471"/>
      <c r="H57" s="471"/>
      <c r="I57" s="471"/>
      <c r="J57" s="471"/>
      <c r="K57" s="471"/>
      <c r="L57" s="471"/>
      <c r="M57" s="471"/>
      <c r="N57" s="471"/>
      <c r="O57" s="471"/>
      <c r="P57" s="471"/>
      <c r="Q57" s="473"/>
      <c r="R57" s="473"/>
      <c r="S57" s="473"/>
    </row>
    <row r="58" spans="1:19">
      <c r="A58" s="80"/>
      <c r="B58" s="471"/>
      <c r="C58" s="471"/>
      <c r="D58" s="471"/>
      <c r="E58" s="471"/>
      <c r="F58" s="471"/>
      <c r="G58" s="471"/>
      <c r="H58" s="471"/>
      <c r="I58" s="471"/>
      <c r="J58" s="471"/>
      <c r="K58" s="471"/>
      <c r="L58" s="471"/>
      <c r="M58" s="471"/>
      <c r="N58" s="471"/>
      <c r="O58" s="471"/>
      <c r="P58" s="471"/>
      <c r="Q58" s="473"/>
      <c r="R58" s="473"/>
      <c r="S58" s="473"/>
    </row>
    <row r="59" spans="1:19">
      <c r="A59" s="80"/>
      <c r="B59" s="471"/>
      <c r="C59" s="471"/>
      <c r="D59" s="471"/>
      <c r="E59" s="471"/>
      <c r="F59" s="471"/>
      <c r="G59" s="471"/>
      <c r="H59" s="471"/>
      <c r="I59" s="471"/>
      <c r="J59" s="471"/>
      <c r="K59" s="471"/>
      <c r="L59" s="471"/>
      <c r="M59" s="471"/>
      <c r="N59" s="471"/>
      <c r="O59" s="471"/>
      <c r="P59" s="471"/>
      <c r="Q59" s="473"/>
      <c r="R59" s="473"/>
      <c r="S59" s="473"/>
    </row>
    <row r="60" spans="1:19">
      <c r="A60" s="80"/>
      <c r="B60" s="471"/>
      <c r="C60" s="471"/>
      <c r="D60" s="471"/>
      <c r="E60" s="471"/>
      <c r="F60" s="471"/>
      <c r="G60" s="471"/>
      <c r="H60" s="471"/>
      <c r="I60" s="471"/>
      <c r="J60" s="471"/>
      <c r="K60" s="471"/>
      <c r="L60" s="471"/>
      <c r="M60" s="471"/>
      <c r="N60" s="471"/>
      <c r="O60" s="471"/>
      <c r="P60" s="471"/>
      <c r="Q60" s="473"/>
      <c r="R60" s="473"/>
      <c r="S60" s="473"/>
    </row>
    <row r="61" spans="1:19">
      <c r="A61" s="80"/>
      <c r="B61" s="471"/>
      <c r="C61" s="471"/>
      <c r="D61" s="471"/>
      <c r="E61" s="472"/>
      <c r="F61" s="471"/>
      <c r="G61" s="472"/>
      <c r="H61" s="472"/>
      <c r="I61" s="472"/>
      <c r="J61" s="472"/>
      <c r="K61" s="472"/>
      <c r="L61" s="472"/>
      <c r="M61" s="472"/>
      <c r="N61" s="472"/>
      <c r="O61" s="472"/>
      <c r="P61" s="472"/>
      <c r="Q61" s="473"/>
      <c r="R61" s="473"/>
      <c r="S61" s="473"/>
    </row>
    <row r="62" spans="1:19">
      <c r="A62" s="80"/>
      <c r="B62" s="471"/>
      <c r="C62" s="471"/>
      <c r="D62" s="471"/>
      <c r="E62" s="472"/>
      <c r="F62" s="471"/>
      <c r="G62" s="472"/>
      <c r="H62" s="472"/>
      <c r="I62" s="472"/>
      <c r="J62" s="472"/>
      <c r="K62" s="472"/>
      <c r="L62" s="472"/>
      <c r="M62" s="472"/>
      <c r="N62" s="472"/>
      <c r="O62" s="472"/>
      <c r="P62" s="472"/>
      <c r="Q62" s="473"/>
      <c r="R62" s="473"/>
      <c r="S62" s="474"/>
    </row>
    <row r="63" spans="1:19">
      <c r="A63" s="80"/>
      <c r="B63" s="471"/>
      <c r="C63" s="471"/>
      <c r="D63" s="471"/>
      <c r="E63" s="471"/>
      <c r="F63" s="471"/>
      <c r="G63" s="471"/>
      <c r="H63" s="471"/>
      <c r="I63" s="471"/>
      <c r="J63" s="471"/>
      <c r="K63" s="471"/>
      <c r="L63" s="471"/>
      <c r="M63" s="471"/>
      <c r="N63" s="471"/>
      <c r="O63" s="471"/>
      <c r="P63" s="471"/>
      <c r="Q63" s="471"/>
      <c r="R63" s="471"/>
      <c r="S63" s="471"/>
    </row>
    <row r="64" spans="1:19">
      <c r="A64" s="80"/>
      <c r="B64" s="471"/>
      <c r="C64" s="471"/>
      <c r="D64" s="471"/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471"/>
      <c r="R64" s="471"/>
      <c r="S64" s="471"/>
    </row>
    <row r="65" spans="1:19" ht="15.5">
      <c r="A65" s="2240"/>
      <c r="B65" s="2240"/>
      <c r="C65" s="2240"/>
      <c r="D65" s="2240"/>
      <c r="E65" s="2240"/>
      <c r="F65" s="2240"/>
      <c r="G65" s="2240"/>
      <c r="H65" s="2240"/>
      <c r="I65" s="2240"/>
      <c r="J65" s="2240"/>
      <c r="K65" s="2240"/>
      <c r="L65" s="2240"/>
      <c r="M65" s="2240"/>
      <c r="N65" s="2240"/>
      <c r="O65" s="2240"/>
      <c r="P65" s="2240"/>
      <c r="Q65" s="2240"/>
      <c r="R65" s="2240"/>
      <c r="S65" s="2240"/>
    </row>
    <row r="66" spans="1:19">
      <c r="A66" s="80"/>
      <c r="B66" s="471"/>
      <c r="C66" s="471"/>
      <c r="D66" s="471"/>
      <c r="E66" s="471"/>
      <c r="F66" s="471"/>
      <c r="G66" s="471"/>
      <c r="H66" s="471"/>
      <c r="I66" s="471"/>
      <c r="J66" s="471"/>
      <c r="K66" s="471"/>
      <c r="L66" s="471"/>
      <c r="M66" s="471"/>
      <c r="N66" s="471"/>
      <c r="O66" s="471"/>
      <c r="P66" s="471"/>
      <c r="Q66" s="473"/>
      <c r="R66" s="473"/>
      <c r="S66" s="473"/>
    </row>
    <row r="67" spans="1:19">
      <c r="A67" s="80"/>
      <c r="B67" s="471"/>
      <c r="C67" s="471"/>
      <c r="D67" s="471"/>
      <c r="E67" s="471"/>
      <c r="F67" s="471"/>
      <c r="G67" s="471"/>
      <c r="H67" s="471"/>
      <c r="I67" s="471"/>
      <c r="J67" s="471"/>
      <c r="K67" s="471"/>
      <c r="L67" s="471"/>
      <c r="M67" s="471"/>
      <c r="N67" s="471"/>
      <c r="O67" s="471"/>
      <c r="P67" s="471"/>
      <c r="Q67" s="473"/>
      <c r="R67" s="473"/>
      <c r="S67" s="473"/>
    </row>
    <row r="68" spans="1:19">
      <c r="A68" s="80"/>
      <c r="B68" s="471"/>
      <c r="C68" s="471"/>
      <c r="D68" s="471"/>
      <c r="E68" s="471"/>
      <c r="F68" s="471"/>
      <c r="G68" s="471"/>
      <c r="H68" s="471"/>
      <c r="I68" s="471"/>
      <c r="J68" s="471"/>
      <c r="K68" s="471"/>
      <c r="L68" s="471"/>
      <c r="M68" s="471"/>
      <c r="N68" s="471"/>
      <c r="O68" s="471"/>
      <c r="P68" s="471"/>
      <c r="Q68" s="473"/>
      <c r="R68" s="473"/>
      <c r="S68" s="473"/>
    </row>
    <row r="69" spans="1:19">
      <c r="A69" s="80"/>
      <c r="B69" s="471"/>
      <c r="C69" s="471"/>
      <c r="D69" s="471"/>
      <c r="E69" s="471"/>
      <c r="F69" s="471"/>
      <c r="G69" s="471"/>
      <c r="H69" s="471"/>
      <c r="I69" s="471"/>
      <c r="J69" s="471"/>
      <c r="K69" s="471"/>
      <c r="L69" s="471"/>
      <c r="M69" s="471"/>
      <c r="N69" s="471"/>
      <c r="O69" s="471"/>
      <c r="P69" s="471"/>
      <c r="Q69" s="473"/>
      <c r="R69" s="473"/>
      <c r="S69" s="473"/>
    </row>
    <row r="70" spans="1:19">
      <c r="A70" s="80"/>
      <c r="B70" s="471"/>
      <c r="C70" s="471"/>
      <c r="D70" s="471"/>
      <c r="E70" s="471"/>
      <c r="F70" s="471"/>
      <c r="G70" s="471"/>
      <c r="H70" s="471"/>
      <c r="I70" s="471"/>
      <c r="J70" s="471"/>
      <c r="K70" s="471"/>
      <c r="L70" s="471"/>
      <c r="M70" s="471"/>
      <c r="N70" s="471"/>
      <c r="O70" s="471"/>
      <c r="P70" s="471"/>
      <c r="Q70" s="473"/>
      <c r="R70" s="473"/>
      <c r="S70" s="473"/>
    </row>
    <row r="71" spans="1:19">
      <c r="A71" s="80"/>
      <c r="B71" s="471"/>
      <c r="C71" s="471"/>
      <c r="D71" s="471"/>
      <c r="E71" s="471"/>
      <c r="F71" s="471"/>
      <c r="G71" s="471"/>
      <c r="H71" s="471"/>
      <c r="I71" s="471"/>
      <c r="J71" s="471"/>
      <c r="K71" s="471"/>
      <c r="L71" s="471"/>
      <c r="M71" s="471"/>
      <c r="N71" s="471"/>
      <c r="O71" s="471"/>
      <c r="P71" s="471"/>
      <c r="Q71" s="473"/>
      <c r="R71" s="473"/>
      <c r="S71" s="473"/>
    </row>
    <row r="72" spans="1:19">
      <c r="A72" s="80"/>
      <c r="B72" s="471"/>
      <c r="C72" s="471"/>
      <c r="D72" s="471"/>
      <c r="E72" s="471"/>
      <c r="F72" s="471"/>
      <c r="G72" s="471"/>
      <c r="H72" s="471"/>
      <c r="I72" s="471"/>
      <c r="J72" s="471"/>
      <c r="K72" s="471"/>
      <c r="L72" s="471"/>
      <c r="M72" s="471"/>
      <c r="N72" s="471"/>
      <c r="O72" s="471"/>
      <c r="P72" s="471"/>
      <c r="Q72" s="473"/>
      <c r="R72" s="473"/>
      <c r="S72" s="473"/>
    </row>
    <row r="73" spans="1:19">
      <c r="A73" s="80"/>
      <c r="B73" s="471"/>
      <c r="C73" s="471"/>
      <c r="D73" s="471"/>
      <c r="E73" s="471"/>
      <c r="F73" s="471"/>
      <c r="G73" s="471"/>
      <c r="H73" s="471"/>
      <c r="I73" s="471"/>
      <c r="J73" s="471"/>
      <c r="K73" s="471"/>
      <c r="L73" s="471"/>
      <c r="M73" s="471"/>
      <c r="N73" s="471"/>
      <c r="O73" s="471"/>
      <c r="P73" s="471"/>
      <c r="Q73" s="473"/>
      <c r="R73" s="473"/>
      <c r="S73" s="473"/>
    </row>
    <row r="74" spans="1:19">
      <c r="A74" s="80"/>
      <c r="B74" s="471"/>
      <c r="C74" s="471"/>
      <c r="D74" s="471"/>
      <c r="E74" s="471"/>
      <c r="F74" s="471"/>
      <c r="G74" s="471"/>
      <c r="H74" s="471"/>
      <c r="I74" s="471"/>
      <c r="J74" s="471"/>
      <c r="K74" s="471"/>
      <c r="L74" s="471"/>
      <c r="M74" s="471"/>
      <c r="N74" s="471"/>
      <c r="O74" s="471"/>
      <c r="P74" s="471"/>
      <c r="Q74" s="473"/>
      <c r="R74" s="473"/>
      <c r="S74" s="473"/>
    </row>
    <row r="75" spans="1:19">
      <c r="A75" s="80"/>
      <c r="B75" s="471"/>
      <c r="C75" s="471"/>
      <c r="D75" s="471"/>
      <c r="E75" s="471"/>
      <c r="F75" s="471"/>
      <c r="G75" s="471"/>
      <c r="H75" s="471"/>
      <c r="I75" s="471"/>
      <c r="J75" s="471"/>
      <c r="K75" s="471"/>
      <c r="L75" s="471"/>
      <c r="M75" s="471"/>
      <c r="N75" s="471"/>
      <c r="O75" s="471"/>
      <c r="P75" s="471"/>
      <c r="Q75" s="473"/>
      <c r="R75" s="473"/>
      <c r="S75" s="473"/>
    </row>
    <row r="76" spans="1:19">
      <c r="A76" s="80"/>
      <c r="B76" s="471"/>
      <c r="C76" s="471"/>
      <c r="D76" s="471"/>
      <c r="E76" s="472"/>
      <c r="F76" s="471"/>
      <c r="G76" s="471"/>
      <c r="H76" s="471"/>
      <c r="I76" s="471"/>
      <c r="J76" s="471"/>
      <c r="K76" s="471"/>
      <c r="L76" s="471"/>
      <c r="M76" s="471"/>
      <c r="N76" s="471"/>
      <c r="O76" s="471"/>
      <c r="P76" s="471"/>
      <c r="Q76" s="473"/>
      <c r="R76" s="473"/>
      <c r="S76" s="473"/>
    </row>
    <row r="77" spans="1:19">
      <c r="A77" s="80"/>
      <c r="B77" s="471"/>
      <c r="C77" s="471"/>
      <c r="D77" s="471"/>
      <c r="E77" s="472"/>
      <c r="F77" s="471"/>
      <c r="G77" s="471"/>
      <c r="H77" s="471"/>
      <c r="I77" s="471"/>
      <c r="J77" s="471"/>
      <c r="K77" s="471"/>
      <c r="L77" s="471"/>
      <c r="M77" s="471"/>
      <c r="N77" s="471"/>
      <c r="O77" s="471"/>
      <c r="P77" s="471"/>
      <c r="Q77" s="473"/>
      <c r="R77" s="473"/>
      <c r="S77" s="473"/>
    </row>
    <row r="78" spans="1:19">
      <c r="A78" s="80"/>
      <c r="B78" s="471"/>
      <c r="C78" s="471"/>
      <c r="D78" s="471"/>
      <c r="E78" s="471"/>
      <c r="F78" s="471"/>
      <c r="G78" s="471"/>
      <c r="H78" s="471"/>
      <c r="I78" s="471"/>
      <c r="J78" s="471"/>
      <c r="K78" s="471"/>
      <c r="L78" s="471"/>
      <c r="M78" s="471"/>
      <c r="N78" s="471"/>
      <c r="O78" s="471"/>
      <c r="P78" s="471"/>
      <c r="Q78" s="471"/>
      <c r="R78" s="471"/>
      <c r="S78" s="471"/>
    </row>
    <row r="79" spans="1:19">
      <c r="A79" s="80"/>
      <c r="B79" s="471"/>
      <c r="C79" s="471"/>
      <c r="D79" s="471"/>
      <c r="E79" s="471"/>
      <c r="F79" s="471"/>
      <c r="G79" s="471"/>
      <c r="H79" s="471"/>
      <c r="I79" s="471"/>
      <c r="J79" s="471"/>
      <c r="K79" s="471"/>
      <c r="L79" s="471"/>
      <c r="M79" s="471"/>
      <c r="N79" s="471"/>
      <c r="O79" s="471"/>
      <c r="P79" s="471"/>
      <c r="Q79" s="471"/>
      <c r="R79" s="471"/>
      <c r="S79" s="471"/>
    </row>
  </sheetData>
  <mergeCells count="6">
    <mergeCell ref="A65:S65"/>
    <mergeCell ref="A25:S25"/>
    <mergeCell ref="A40:S40"/>
    <mergeCell ref="A52:S52"/>
    <mergeCell ref="A1:O1"/>
    <mergeCell ref="A8:S8"/>
  </mergeCells>
  <phoneticPr fontId="0" type="noConversion"/>
  <pageMargins left="0.75" right="0.75" top="1" bottom="1" header="0.5" footer="0.5"/>
  <pageSetup scale="5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I8"/>
  <sheetViews>
    <sheetView topLeftCell="J7" workbookViewId="0">
      <selection activeCell="T5" sqref="T5:AH5"/>
    </sheetView>
  </sheetViews>
  <sheetFormatPr defaultRowHeight="14"/>
  <cols>
    <col min="1" max="1" width="12" bestFit="1" customWidth="1"/>
    <col min="2" max="2" width="5.08984375" bestFit="1" customWidth="1"/>
    <col min="3" max="3" width="6.08984375" bestFit="1" customWidth="1"/>
    <col min="4" max="4" width="6.54296875" bestFit="1" customWidth="1"/>
    <col min="5" max="5" width="5.26953125" bestFit="1" customWidth="1"/>
    <col min="6" max="7" width="6" bestFit="1" customWidth="1"/>
    <col min="8" max="8" width="4.54296875" bestFit="1" customWidth="1"/>
    <col min="9" max="9" width="5.54296875" bestFit="1" customWidth="1"/>
    <col min="10" max="10" width="5.453125" bestFit="1" customWidth="1"/>
    <col min="11" max="11" width="6.36328125" bestFit="1" customWidth="1"/>
    <col min="12" max="12" width="5.453125" customWidth="1"/>
    <col min="13" max="13" width="6.08984375" bestFit="1" customWidth="1"/>
    <col min="14" max="14" width="6.1796875" bestFit="1" customWidth="1"/>
    <col min="15" max="15" width="6.36328125" bestFit="1" customWidth="1"/>
    <col min="16" max="17" width="5.6328125" customWidth="1"/>
    <col min="19" max="19" width="19.1796875" bestFit="1" customWidth="1"/>
    <col min="20" max="20" width="5.08984375" bestFit="1" customWidth="1"/>
    <col min="21" max="21" width="6.08984375" bestFit="1" customWidth="1"/>
    <col min="22" max="22" width="6.54296875" bestFit="1" customWidth="1"/>
    <col min="23" max="23" width="5.26953125" bestFit="1" customWidth="1"/>
    <col min="24" max="25" width="6" bestFit="1" customWidth="1"/>
    <col min="26" max="26" width="4.6328125" bestFit="1" customWidth="1"/>
    <col min="27" max="27" width="5.54296875" bestFit="1" customWidth="1"/>
    <col min="28" max="28" width="5.453125" bestFit="1" customWidth="1"/>
    <col min="29" max="29" width="6.36328125" bestFit="1" customWidth="1"/>
    <col min="30" max="30" width="5.453125" bestFit="1" customWidth="1"/>
    <col min="31" max="31" width="6.08984375" bestFit="1" customWidth="1"/>
    <col min="32" max="32" width="6.1796875" bestFit="1" customWidth="1"/>
    <col min="33" max="33" width="6.36328125" bestFit="1" customWidth="1"/>
    <col min="34" max="34" width="5.6328125" bestFit="1" customWidth="1"/>
    <col min="35" max="35" width="5" bestFit="1" customWidth="1"/>
  </cols>
  <sheetData>
    <row r="1" spans="1:35">
      <c r="A1" s="2314" t="s">
        <v>186</v>
      </c>
      <c r="B1" s="2312" t="s">
        <v>1860</v>
      </c>
      <c r="C1" s="2313"/>
      <c r="D1" s="2313"/>
      <c r="E1" s="2313"/>
      <c r="F1" s="2313"/>
      <c r="G1" s="2313"/>
      <c r="H1" s="2313"/>
      <c r="I1" s="2313"/>
      <c r="J1" s="2313"/>
      <c r="K1" s="2313"/>
      <c r="L1" s="2313"/>
      <c r="M1" s="2313"/>
      <c r="N1" s="2313"/>
      <c r="O1" s="2313"/>
      <c r="P1" s="2313"/>
      <c r="Q1" s="1045"/>
      <c r="S1" s="2315" t="s">
        <v>187</v>
      </c>
      <c r="T1" s="2310" t="s">
        <v>1861</v>
      </c>
      <c r="U1" s="2311"/>
      <c r="V1" s="2311"/>
      <c r="W1" s="2311"/>
      <c r="X1" s="2311"/>
      <c r="Y1" s="2311"/>
      <c r="Z1" s="2311"/>
      <c r="AA1" s="2311"/>
      <c r="AB1" s="2311"/>
      <c r="AC1" s="2311"/>
      <c r="AD1" s="2311"/>
      <c r="AE1" s="2311"/>
      <c r="AF1" s="2311"/>
      <c r="AG1" s="2311"/>
      <c r="AH1" s="2311"/>
    </row>
    <row r="2" spans="1:35">
      <c r="A2" s="2314"/>
      <c r="B2" s="1284">
        <v>43472</v>
      </c>
      <c r="C2" s="1284">
        <v>43507</v>
      </c>
      <c r="D2" s="1284">
        <v>43545</v>
      </c>
      <c r="E2" s="1284">
        <v>43563</v>
      </c>
      <c r="F2" s="1284">
        <v>43591</v>
      </c>
      <c r="G2" s="1284">
        <v>43626</v>
      </c>
      <c r="H2" s="1284">
        <v>43654</v>
      </c>
      <c r="I2" s="1284">
        <v>43661</v>
      </c>
      <c r="J2" s="1284">
        <v>43682</v>
      </c>
      <c r="K2" s="1284">
        <v>43690</v>
      </c>
      <c r="L2" s="1284">
        <v>43717</v>
      </c>
      <c r="M2" s="1284">
        <v>43724</v>
      </c>
      <c r="N2" s="1284">
        <v>43752</v>
      </c>
      <c r="O2" s="1284">
        <v>43783</v>
      </c>
      <c r="P2" s="1284">
        <v>43808</v>
      </c>
      <c r="Q2" s="1078"/>
      <c r="S2" s="2315"/>
      <c r="T2" s="1284">
        <v>43472</v>
      </c>
      <c r="U2" s="1284">
        <v>43507</v>
      </c>
      <c r="V2" s="1284">
        <v>43545</v>
      </c>
      <c r="W2" s="1284">
        <v>43563</v>
      </c>
      <c r="X2" s="1284">
        <v>43591</v>
      </c>
      <c r="Y2" s="1284">
        <v>43626</v>
      </c>
      <c r="Z2" s="1284">
        <v>43654</v>
      </c>
      <c r="AA2" s="1284">
        <v>43661</v>
      </c>
      <c r="AB2" s="1284">
        <v>43682</v>
      </c>
      <c r="AC2" s="1284">
        <v>43690</v>
      </c>
      <c r="AD2" s="1284">
        <v>43717</v>
      </c>
      <c r="AE2" s="1284">
        <v>43724</v>
      </c>
      <c r="AF2" s="1284">
        <v>43752</v>
      </c>
      <c r="AG2" s="1284">
        <v>43783</v>
      </c>
      <c r="AH2" s="1284">
        <v>43808</v>
      </c>
      <c r="AI2" s="1078"/>
    </row>
    <row r="3" spans="1:35">
      <c r="A3" s="578" t="s">
        <v>190</v>
      </c>
      <c r="B3" s="2316" t="s">
        <v>188</v>
      </c>
      <c r="C3" s="2317"/>
      <c r="D3" s="2318"/>
      <c r="E3" s="2319" t="s">
        <v>189</v>
      </c>
      <c r="F3" s="2319"/>
      <c r="G3" s="2319"/>
      <c r="H3" s="2319"/>
      <c r="I3" s="2319"/>
      <c r="J3" s="2319"/>
      <c r="K3" s="2319"/>
      <c r="L3" s="2319"/>
      <c r="M3" s="2319"/>
      <c r="N3" s="2319"/>
      <c r="O3" s="2319"/>
      <c r="P3" s="2319"/>
      <c r="Q3" s="1285"/>
      <c r="S3" s="53" t="s">
        <v>197</v>
      </c>
      <c r="T3" s="577">
        <v>3.5</v>
      </c>
      <c r="U3" s="577">
        <v>5.75</v>
      </c>
      <c r="V3" s="577">
        <v>9.6999999999999993</v>
      </c>
      <c r="W3" s="577">
        <v>9.3000000000000007</v>
      </c>
      <c r="X3" s="577">
        <v>10.199999999999999</v>
      </c>
      <c r="Y3" s="577">
        <v>10.8</v>
      </c>
      <c r="Z3" s="577">
        <v>10.4</v>
      </c>
      <c r="AA3" s="577">
        <v>10.6</v>
      </c>
      <c r="AB3" s="577">
        <v>10.4</v>
      </c>
      <c r="AC3" s="577">
        <v>10.5</v>
      </c>
      <c r="AD3" s="577">
        <v>10</v>
      </c>
      <c r="AE3" s="577">
        <v>9.9</v>
      </c>
      <c r="AF3" s="577">
        <v>9.4</v>
      </c>
      <c r="AG3" s="577">
        <v>9.5</v>
      </c>
      <c r="AH3" s="1079">
        <v>6</v>
      </c>
    </row>
    <row r="4" spans="1:35">
      <c r="A4" s="111" t="s">
        <v>191</v>
      </c>
      <c r="B4" s="575">
        <v>3.7749999999999995</v>
      </c>
      <c r="C4" s="575">
        <v>2.6749999999999998</v>
      </c>
      <c r="D4" s="575">
        <v>4.875</v>
      </c>
      <c r="E4" s="576">
        <v>10.099999999999998</v>
      </c>
      <c r="F4" s="576">
        <v>11.925000000000001</v>
      </c>
      <c r="G4" s="576">
        <v>14.925000000000001</v>
      </c>
      <c r="H4" s="576">
        <v>19.7</v>
      </c>
      <c r="I4" s="576">
        <v>20.25</v>
      </c>
      <c r="J4" s="576">
        <v>21.224999999999998</v>
      </c>
      <c r="K4" s="576">
        <v>22.274999999999999</v>
      </c>
      <c r="L4" s="576">
        <v>20.475000000000001</v>
      </c>
      <c r="M4" s="576">
        <v>19.850000000000001</v>
      </c>
      <c r="N4" s="576">
        <v>12.299999999999999</v>
      </c>
      <c r="O4" s="576">
        <v>5.3500000000000005</v>
      </c>
      <c r="P4" s="576">
        <v>3.375</v>
      </c>
      <c r="Q4" s="1036"/>
      <c r="S4" s="53" t="s">
        <v>243</v>
      </c>
      <c r="T4" s="576">
        <v>14.734999999999999</v>
      </c>
      <c r="U4" s="576">
        <v>16.802500000000002</v>
      </c>
      <c r="V4" s="576">
        <v>14.092500000000001</v>
      </c>
      <c r="W4" s="576">
        <v>12.375</v>
      </c>
      <c r="X4" s="576">
        <v>9.7949999999999999</v>
      </c>
      <c r="Y4" s="576">
        <v>9.4524999999999988</v>
      </c>
      <c r="Z4" s="576">
        <v>8.7149999999999999</v>
      </c>
      <c r="AA4" s="576">
        <v>8.5975000000000001</v>
      </c>
      <c r="AB4" s="576">
        <v>6.3275000000000006</v>
      </c>
      <c r="AC4" s="576">
        <v>6.3674999999999997</v>
      </c>
      <c r="AD4" s="576">
        <v>7.8624999999999998</v>
      </c>
      <c r="AE4" s="576">
        <v>8.8275000000000006</v>
      </c>
      <c r="AF4" s="576">
        <v>10.522499999999999</v>
      </c>
      <c r="AG4" s="576">
        <v>12.209999999999999</v>
      </c>
      <c r="AH4" s="1079">
        <v>13.129999999999999</v>
      </c>
    </row>
    <row r="5" spans="1:35">
      <c r="A5" s="111" t="s">
        <v>192</v>
      </c>
      <c r="B5" s="575"/>
      <c r="C5" s="575">
        <v>2.9249999999999998</v>
      </c>
      <c r="D5" s="575">
        <v>4.7750000000000004</v>
      </c>
      <c r="E5" s="576">
        <v>9.2249999999999996</v>
      </c>
      <c r="F5" s="576">
        <v>12.45</v>
      </c>
      <c r="G5" s="576">
        <v>15.225</v>
      </c>
      <c r="H5" s="576">
        <v>19.5</v>
      </c>
      <c r="I5" s="576">
        <v>20.399999999999999</v>
      </c>
      <c r="J5" s="576">
        <v>22.099999999999998</v>
      </c>
      <c r="K5" s="576">
        <v>22.425000000000001</v>
      </c>
      <c r="L5" s="576">
        <v>20.824999999999999</v>
      </c>
      <c r="M5" s="576">
        <v>19.925000000000001</v>
      </c>
      <c r="N5" s="576">
        <v>12.375</v>
      </c>
      <c r="O5" s="576">
        <v>5.3250000000000002</v>
      </c>
      <c r="P5" s="576"/>
      <c r="Q5" s="1036"/>
      <c r="S5" s="53" t="s">
        <v>196</v>
      </c>
      <c r="T5" s="576">
        <v>13.888333333333335</v>
      </c>
      <c r="U5" s="576">
        <v>11.812000000000003</v>
      </c>
      <c r="V5" s="576">
        <v>9.5</v>
      </c>
      <c r="W5" s="576">
        <v>9.59</v>
      </c>
      <c r="X5" s="576">
        <v>8.5449999999999999</v>
      </c>
      <c r="Y5" s="576">
        <v>8.8271428571428565</v>
      </c>
      <c r="Z5" s="576">
        <v>7.2792857142857139</v>
      </c>
      <c r="AA5" s="576">
        <v>7.145714285714285</v>
      </c>
      <c r="AB5" s="576">
        <v>5.6028571428571423</v>
      </c>
      <c r="AC5" s="576">
        <v>5.5557142857142852</v>
      </c>
      <c r="AD5" s="576">
        <v>7.3635714285714284</v>
      </c>
      <c r="AE5" s="576">
        <v>8.1078571428571422</v>
      </c>
      <c r="AF5" s="576">
        <v>9.2930769230769226</v>
      </c>
      <c r="AG5" s="576">
        <v>11.684615384615382</v>
      </c>
      <c r="AH5" s="1079">
        <v>12.45</v>
      </c>
    </row>
    <row r="6" spans="1:35">
      <c r="A6" s="111" t="s">
        <v>193</v>
      </c>
      <c r="B6" s="575"/>
      <c r="C6" s="576">
        <v>2.65</v>
      </c>
      <c r="D6" s="576">
        <v>5.0999999999999996</v>
      </c>
      <c r="E6" s="576">
        <v>10.45</v>
      </c>
      <c r="F6" s="576">
        <v>12.600000000000001</v>
      </c>
      <c r="G6" s="576">
        <v>15.225000000000001</v>
      </c>
      <c r="H6" s="576">
        <v>19.275000000000002</v>
      </c>
      <c r="I6" s="576">
        <v>19.8</v>
      </c>
      <c r="J6" s="576">
        <v>21.875</v>
      </c>
      <c r="K6" s="576">
        <v>22.075000000000003</v>
      </c>
      <c r="L6" s="576">
        <v>20.9</v>
      </c>
      <c r="M6" s="576">
        <v>20.099999999999998</v>
      </c>
      <c r="N6" s="576">
        <v>12.4</v>
      </c>
      <c r="O6" s="576">
        <v>5.2999999999999989</v>
      </c>
      <c r="P6" s="576"/>
      <c r="Q6" s="1036"/>
      <c r="S6" s="53" t="s">
        <v>971</v>
      </c>
      <c r="T6" s="577">
        <v>6</v>
      </c>
      <c r="U6" s="577">
        <v>6</v>
      </c>
      <c r="V6" s="577">
        <v>6</v>
      </c>
      <c r="W6" s="577">
        <v>6</v>
      </c>
      <c r="X6" s="577">
        <v>6</v>
      </c>
      <c r="Y6" s="577">
        <v>6</v>
      </c>
      <c r="Z6" s="577">
        <v>6</v>
      </c>
      <c r="AA6" s="577">
        <v>6</v>
      </c>
      <c r="AB6" s="577">
        <v>6</v>
      </c>
      <c r="AC6" s="577">
        <v>6</v>
      </c>
      <c r="AD6" s="577">
        <v>6</v>
      </c>
      <c r="AE6" s="577">
        <v>6</v>
      </c>
      <c r="AF6" s="577">
        <v>6</v>
      </c>
      <c r="AG6" s="577">
        <v>6</v>
      </c>
      <c r="AH6" s="577">
        <v>6</v>
      </c>
      <c r="AI6" s="2"/>
    </row>
    <row r="7" spans="1:35">
      <c r="A7" s="579" t="s">
        <v>195</v>
      </c>
      <c r="B7" s="580">
        <v>9</v>
      </c>
      <c r="C7" s="581">
        <v>9</v>
      </c>
      <c r="D7" s="581">
        <v>9</v>
      </c>
      <c r="T7" s="464"/>
      <c r="U7" s="464"/>
      <c r="V7" s="464"/>
      <c r="W7" s="464"/>
      <c r="X7" s="464"/>
      <c r="Y7" s="464"/>
      <c r="Z7" s="464"/>
      <c r="AA7" s="464"/>
      <c r="AB7" s="464"/>
      <c r="AC7" s="464"/>
      <c r="AD7" s="464"/>
      <c r="AE7" s="464"/>
      <c r="AF7" s="464"/>
      <c r="AG7" s="464"/>
      <c r="AH7" s="464"/>
    </row>
    <row r="8" spans="1:35">
      <c r="A8" s="94" t="s">
        <v>194</v>
      </c>
      <c r="C8" s="582"/>
      <c r="D8" s="582"/>
      <c r="E8" s="583">
        <v>23.3</v>
      </c>
      <c r="F8" s="583">
        <v>23.3</v>
      </c>
      <c r="G8" s="583">
        <v>23.3</v>
      </c>
      <c r="H8" s="583">
        <v>23.3</v>
      </c>
      <c r="I8" s="583">
        <v>23.3</v>
      </c>
      <c r="J8" s="583">
        <v>23.3</v>
      </c>
      <c r="K8" s="583">
        <v>23.3</v>
      </c>
      <c r="L8" s="583">
        <v>23.3</v>
      </c>
      <c r="M8" s="583">
        <v>23.3</v>
      </c>
      <c r="N8" s="583">
        <v>23.3</v>
      </c>
      <c r="O8" s="583">
        <v>23.3</v>
      </c>
      <c r="P8" s="583">
        <v>23.3</v>
      </c>
      <c r="Q8" s="580"/>
    </row>
  </sheetData>
  <mergeCells count="6">
    <mergeCell ref="T1:AH1"/>
    <mergeCell ref="B1:P1"/>
    <mergeCell ref="A1:A2"/>
    <mergeCell ref="S1:S2"/>
    <mergeCell ref="B3:D3"/>
    <mergeCell ref="E3:P3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theme="5" tint="0.59999389629810485"/>
    <pageSetUpPr fitToPage="1"/>
  </sheetPr>
  <dimension ref="A1:U41"/>
  <sheetViews>
    <sheetView topLeftCell="A4" zoomScale="75" zoomScaleNormal="75" workbookViewId="0">
      <selection activeCell="B7" sqref="B7:P7"/>
    </sheetView>
  </sheetViews>
  <sheetFormatPr defaultRowHeight="14"/>
  <cols>
    <col min="1" max="1" width="34.1796875" style="1" bestFit="1" customWidth="1"/>
    <col min="2" max="2" width="6.90625" bestFit="1" customWidth="1"/>
    <col min="3" max="3" width="7.7265625" bestFit="1" customWidth="1"/>
    <col min="4" max="4" width="7.54296875" bestFit="1" customWidth="1"/>
    <col min="5" max="5" width="7.08984375" bestFit="1" customWidth="1"/>
    <col min="6" max="6" width="7.54296875" bestFit="1" customWidth="1"/>
    <col min="7" max="7" width="7.7265625" bestFit="1" customWidth="1"/>
    <col min="8" max="8" width="6.90625" bestFit="1" customWidth="1"/>
    <col min="9" max="9" width="7.7265625" bestFit="1" customWidth="1"/>
    <col min="10" max="10" width="8" bestFit="1" customWidth="1"/>
    <col min="11" max="11" width="7.54296875" bestFit="1" customWidth="1"/>
    <col min="12" max="12" width="8" bestFit="1" customWidth="1"/>
    <col min="13" max="13" width="7.7265625" bestFit="1" customWidth="1"/>
    <col min="14" max="14" width="8.54296875" bestFit="1" customWidth="1"/>
    <col min="15" max="15" width="7.7265625" bestFit="1" customWidth="1"/>
    <col min="16" max="16" width="8.54296875" bestFit="1" customWidth="1"/>
    <col min="17" max="17" width="8.81640625" bestFit="1" customWidth="1"/>
    <col min="18" max="18" width="6" bestFit="1" customWidth="1"/>
    <col min="19" max="19" width="10.453125" bestFit="1" customWidth="1"/>
    <col min="20" max="21" width="11.36328125" bestFit="1" customWidth="1"/>
    <col min="22" max="22" width="9.90625" customWidth="1"/>
    <col min="23" max="23" width="10.36328125" bestFit="1" customWidth="1"/>
    <col min="24" max="24" width="10.90625" bestFit="1" customWidth="1"/>
    <col min="25" max="25" width="11.08984375" bestFit="1" customWidth="1"/>
    <col min="26" max="26" width="10.453125" customWidth="1"/>
    <col min="27" max="27" width="10.90625" customWidth="1"/>
    <col min="28" max="29" width="11.36328125" customWidth="1"/>
    <col min="30" max="30" width="10.90625" bestFit="1" customWidth="1"/>
  </cols>
  <sheetData>
    <row r="1" spans="1:21" ht="15.5">
      <c r="A1" s="2240" t="s">
        <v>3</v>
      </c>
      <c r="B1" s="2240"/>
      <c r="C1" s="2240"/>
      <c r="D1" s="2240"/>
      <c r="E1" s="2240"/>
      <c r="F1" s="2240"/>
      <c r="G1" s="2240"/>
      <c r="H1" s="2240"/>
      <c r="I1" s="2240"/>
      <c r="J1" s="2240"/>
      <c r="K1" s="2240"/>
      <c r="L1" s="2240"/>
      <c r="M1" s="2240"/>
      <c r="N1" s="2240"/>
      <c r="O1" s="2240"/>
      <c r="P1" s="1030"/>
    </row>
    <row r="2" spans="1:21" ht="15.5">
      <c r="A2" s="2240" t="s">
        <v>178</v>
      </c>
      <c r="B2" s="2240"/>
      <c r="C2" s="2240"/>
      <c r="D2" s="2240"/>
      <c r="E2" s="2240"/>
      <c r="F2" s="2240"/>
      <c r="G2" s="2240"/>
      <c r="H2" s="2240"/>
      <c r="I2" s="2240"/>
      <c r="J2" s="2240"/>
      <c r="K2" s="2240"/>
      <c r="L2" s="2240"/>
      <c r="M2" s="2240"/>
      <c r="N2" s="2240"/>
      <c r="O2" s="2240"/>
      <c r="P2" s="1030"/>
    </row>
    <row r="4" spans="1:21" s="6" customFormat="1" ht="42">
      <c r="A4" s="64" t="s">
        <v>2</v>
      </c>
      <c r="B4" s="1284">
        <v>43472</v>
      </c>
      <c r="C4" s="1284">
        <v>43507</v>
      </c>
      <c r="D4" s="1284">
        <v>43545</v>
      </c>
      <c r="E4" s="1284">
        <v>43563</v>
      </c>
      <c r="F4" s="1284">
        <v>43591</v>
      </c>
      <c r="G4" s="1284">
        <v>43626</v>
      </c>
      <c r="H4" s="1284">
        <v>43654</v>
      </c>
      <c r="I4" s="1284">
        <v>43661</v>
      </c>
      <c r="J4" s="1284">
        <v>43682</v>
      </c>
      <c r="K4" s="1284">
        <v>43690</v>
      </c>
      <c r="L4" s="1284">
        <v>43717</v>
      </c>
      <c r="M4" s="1284">
        <v>43724</v>
      </c>
      <c r="N4" s="1284">
        <v>43752</v>
      </c>
      <c r="O4" s="1284">
        <v>43783</v>
      </c>
      <c r="P4" s="1284">
        <v>43808</v>
      </c>
      <c r="Q4" s="557" t="s">
        <v>84</v>
      </c>
      <c r="R4" s="557" t="s">
        <v>76</v>
      </c>
      <c r="S4" s="557" t="s">
        <v>85</v>
      </c>
      <c r="T4" s="66" t="s">
        <v>86</v>
      </c>
      <c r="U4" s="66" t="s">
        <v>87</v>
      </c>
    </row>
    <row r="5" spans="1:21" s="2" customFormat="1">
      <c r="A5" s="68" t="s">
        <v>307</v>
      </c>
      <c r="B5" s="1717">
        <v>2</v>
      </c>
      <c r="C5" s="244">
        <v>6</v>
      </c>
      <c r="D5" s="1717">
        <v>21</v>
      </c>
      <c r="E5" s="1717">
        <v>96</v>
      </c>
      <c r="F5" s="1717">
        <v>7</v>
      </c>
      <c r="G5" s="1717">
        <v>28</v>
      </c>
      <c r="H5" s="1717">
        <v>22</v>
      </c>
      <c r="I5" s="1717">
        <v>15</v>
      </c>
      <c r="J5" s="1717">
        <v>135</v>
      </c>
      <c r="K5" s="1717">
        <v>41</v>
      </c>
      <c r="L5" s="1717">
        <v>18</v>
      </c>
      <c r="M5" s="1717">
        <v>6</v>
      </c>
      <c r="N5" s="1717">
        <v>13</v>
      </c>
      <c r="O5" s="1717">
        <v>6</v>
      </c>
      <c r="P5" s="1717">
        <v>41</v>
      </c>
      <c r="Q5" s="261">
        <f t="shared" ref="Q5:Q11" si="0">AVERAGE(B5:O5)</f>
        <v>29.714285714285715</v>
      </c>
      <c r="R5" s="261">
        <f t="shared" ref="R5:R11" si="1">MAX(B5:O5)</f>
        <v>135</v>
      </c>
      <c r="S5" s="261">
        <f t="shared" ref="S5:S11" si="2">AVERAGE(H5:M5)</f>
        <v>39.5</v>
      </c>
      <c r="T5" s="65">
        <f>AVERAGE(B9:O10)</f>
        <v>65.107142857142861</v>
      </c>
      <c r="U5" s="65">
        <f>AVERAGE(H9:M10)</f>
        <v>89.583333333333329</v>
      </c>
    </row>
    <row r="6" spans="1:21" s="2" customFormat="1">
      <c r="A6" s="68" t="s">
        <v>306</v>
      </c>
      <c r="B6" s="1717">
        <v>19</v>
      </c>
      <c r="C6" s="244">
        <v>21</v>
      </c>
      <c r="D6" s="1717">
        <v>37</v>
      </c>
      <c r="E6" s="1717">
        <v>19</v>
      </c>
      <c r="F6" s="1717">
        <v>25</v>
      </c>
      <c r="G6" s="1717">
        <v>50</v>
      </c>
      <c r="H6" s="1717">
        <v>35</v>
      </c>
      <c r="I6" s="1717">
        <v>41</v>
      </c>
      <c r="J6" s="1717">
        <v>75</v>
      </c>
      <c r="K6" s="1717">
        <v>29</v>
      </c>
      <c r="L6" s="1717">
        <v>66</v>
      </c>
      <c r="M6" s="1717">
        <v>121</v>
      </c>
      <c r="N6" s="1717">
        <v>23</v>
      </c>
      <c r="O6" s="1717">
        <v>16</v>
      </c>
      <c r="P6" s="1717">
        <v>60</v>
      </c>
      <c r="Q6" s="261">
        <f t="shared" si="0"/>
        <v>41.214285714285715</v>
      </c>
      <c r="R6" s="261">
        <f t="shared" si="1"/>
        <v>121</v>
      </c>
      <c r="S6" s="261">
        <f t="shared" si="2"/>
        <v>61.166666666666664</v>
      </c>
      <c r="T6" s="44"/>
      <c r="U6" s="44"/>
    </row>
    <row r="7" spans="1:21" s="2" customFormat="1">
      <c r="A7" s="69" t="s">
        <v>308</v>
      </c>
      <c r="B7" s="1717">
        <v>37</v>
      </c>
      <c r="C7" s="244">
        <v>47</v>
      </c>
      <c r="D7" s="1717">
        <v>37</v>
      </c>
      <c r="E7" s="1717">
        <v>49</v>
      </c>
      <c r="F7" s="1717">
        <v>28</v>
      </c>
      <c r="G7" s="1717">
        <v>24</v>
      </c>
      <c r="H7" s="1717">
        <v>33</v>
      </c>
      <c r="I7" s="1717">
        <v>24</v>
      </c>
      <c r="J7" s="1717">
        <v>40</v>
      </c>
      <c r="K7" s="1717">
        <v>47</v>
      </c>
      <c r="L7" s="1717">
        <v>35</v>
      </c>
      <c r="M7" s="1717">
        <v>55</v>
      </c>
      <c r="N7" s="1717">
        <v>33</v>
      </c>
      <c r="O7" s="1717">
        <v>21</v>
      </c>
      <c r="P7" s="1717">
        <v>13</v>
      </c>
      <c r="Q7" s="261">
        <f t="shared" si="0"/>
        <v>36.428571428571431</v>
      </c>
      <c r="R7" s="261">
        <f t="shared" si="1"/>
        <v>55</v>
      </c>
      <c r="S7" s="261">
        <f t="shared" si="2"/>
        <v>39</v>
      </c>
      <c r="T7" s="44"/>
      <c r="U7" s="44"/>
    </row>
    <row r="8" spans="1:21" s="2" customFormat="1">
      <c r="A8" s="69" t="s">
        <v>944</v>
      </c>
      <c r="B8" s="1717">
        <v>44</v>
      </c>
      <c r="C8" s="244">
        <v>28</v>
      </c>
      <c r="D8" s="1717">
        <v>30</v>
      </c>
      <c r="E8" s="1717">
        <v>71</v>
      </c>
      <c r="F8" s="1717">
        <v>17</v>
      </c>
      <c r="G8" s="1717">
        <v>35</v>
      </c>
      <c r="H8" s="1717">
        <v>59</v>
      </c>
      <c r="I8" s="1717">
        <v>62</v>
      </c>
      <c r="J8" s="1717">
        <v>42</v>
      </c>
      <c r="K8" s="1717">
        <v>54</v>
      </c>
      <c r="L8" s="1717">
        <v>89</v>
      </c>
      <c r="M8" s="1717">
        <v>111</v>
      </c>
      <c r="N8" s="1717">
        <v>18</v>
      </c>
      <c r="O8" s="1717">
        <v>21</v>
      </c>
      <c r="P8" s="1717">
        <v>9</v>
      </c>
      <c r="Q8" s="261">
        <f t="shared" si="0"/>
        <v>48.642857142857146</v>
      </c>
      <c r="R8" s="261">
        <f t="shared" si="1"/>
        <v>111</v>
      </c>
      <c r="S8" s="261">
        <f t="shared" si="2"/>
        <v>69.5</v>
      </c>
      <c r="T8" s="44"/>
      <c r="U8" s="44"/>
    </row>
    <row r="9" spans="1:21" s="2" customFormat="1">
      <c r="A9" s="69" t="s">
        <v>313</v>
      </c>
      <c r="B9" s="1717">
        <v>31</v>
      </c>
      <c r="C9" s="244">
        <v>79</v>
      </c>
      <c r="D9" s="1717">
        <v>27</v>
      </c>
      <c r="E9" s="1717">
        <v>58</v>
      </c>
      <c r="F9" s="1717">
        <v>18</v>
      </c>
      <c r="G9" s="1717">
        <v>31</v>
      </c>
      <c r="H9" s="1717">
        <v>25</v>
      </c>
      <c r="I9" s="1717">
        <v>23</v>
      </c>
      <c r="J9" s="1717">
        <v>38</v>
      </c>
      <c r="K9" s="1717">
        <v>46</v>
      </c>
      <c r="L9" s="1717">
        <v>44</v>
      </c>
      <c r="M9" s="1717">
        <v>27</v>
      </c>
      <c r="N9" s="1717">
        <v>64</v>
      </c>
      <c r="O9" s="1717">
        <v>31</v>
      </c>
      <c r="P9" s="1717">
        <v>21</v>
      </c>
      <c r="Q9" s="261">
        <f t="shared" si="0"/>
        <v>38.714285714285715</v>
      </c>
      <c r="R9" s="261">
        <f t="shared" si="1"/>
        <v>79</v>
      </c>
      <c r="S9" s="261">
        <f t="shared" si="2"/>
        <v>33.833333333333336</v>
      </c>
      <c r="T9" s="44"/>
      <c r="U9" s="44"/>
    </row>
    <row r="10" spans="1:21" s="2" customFormat="1">
      <c r="A10" s="69" t="s">
        <v>315</v>
      </c>
      <c r="B10" s="1717">
        <v>65</v>
      </c>
      <c r="C10" s="244">
        <v>38</v>
      </c>
      <c r="D10" s="1717">
        <v>42</v>
      </c>
      <c r="E10" s="1717">
        <v>93</v>
      </c>
      <c r="F10" s="1717">
        <v>25</v>
      </c>
      <c r="G10" s="1717">
        <v>48</v>
      </c>
      <c r="H10" s="1717">
        <v>51</v>
      </c>
      <c r="I10" s="1717">
        <v>543</v>
      </c>
      <c r="J10" s="1717">
        <v>90</v>
      </c>
      <c r="K10" s="1717">
        <v>79</v>
      </c>
      <c r="L10" s="1717">
        <v>48</v>
      </c>
      <c r="M10" s="1717">
        <v>61</v>
      </c>
      <c r="N10" s="1717">
        <v>61</v>
      </c>
      <c r="O10" s="1717">
        <v>37</v>
      </c>
      <c r="P10" s="1717">
        <v>223</v>
      </c>
      <c r="Q10" s="261">
        <f t="shared" si="0"/>
        <v>91.5</v>
      </c>
      <c r="R10" s="261">
        <f t="shared" si="1"/>
        <v>543</v>
      </c>
      <c r="S10" s="261">
        <f t="shared" si="2"/>
        <v>145.33333333333334</v>
      </c>
      <c r="T10" s="44"/>
      <c r="U10" s="44"/>
    </row>
    <row r="11" spans="1:21">
      <c r="A11" s="122" t="s">
        <v>314</v>
      </c>
      <c r="B11" s="358">
        <f>AVERAGE(B9:B10)</f>
        <v>48</v>
      </c>
      <c r="C11" s="358">
        <f t="shared" ref="C11:P11" si="3">AVERAGE(C9:C10)</f>
        <v>58.5</v>
      </c>
      <c r="D11" s="358">
        <f t="shared" si="3"/>
        <v>34.5</v>
      </c>
      <c r="E11" s="358">
        <f t="shared" si="3"/>
        <v>75.5</v>
      </c>
      <c r="F11" s="358">
        <f t="shared" si="3"/>
        <v>21.5</v>
      </c>
      <c r="G11" s="358">
        <f t="shared" si="3"/>
        <v>39.5</v>
      </c>
      <c r="H11" s="358">
        <f t="shared" si="3"/>
        <v>38</v>
      </c>
      <c r="I11" s="358">
        <f t="shared" si="3"/>
        <v>283</v>
      </c>
      <c r="J11" s="358">
        <f t="shared" si="3"/>
        <v>64</v>
      </c>
      <c r="K11" s="358">
        <f t="shared" si="3"/>
        <v>62.5</v>
      </c>
      <c r="L11" s="358">
        <f t="shared" si="3"/>
        <v>46</v>
      </c>
      <c r="M11" s="358">
        <f t="shared" si="3"/>
        <v>44</v>
      </c>
      <c r="N11" s="358">
        <f t="shared" si="3"/>
        <v>62.5</v>
      </c>
      <c r="O11" s="358">
        <f t="shared" si="3"/>
        <v>34</v>
      </c>
      <c r="P11" s="358">
        <f t="shared" si="3"/>
        <v>122</v>
      </c>
      <c r="Q11" s="261">
        <f t="shared" si="0"/>
        <v>65.107142857142861</v>
      </c>
      <c r="R11" s="261">
        <f t="shared" si="1"/>
        <v>283</v>
      </c>
      <c r="S11" s="261">
        <f t="shared" si="2"/>
        <v>89.583333333333329</v>
      </c>
    </row>
    <row r="12" spans="1:21">
      <c r="B12" s="2320"/>
      <c r="C12" s="2320"/>
      <c r="D12" s="2320"/>
      <c r="E12" s="2320"/>
      <c r="F12" s="2320"/>
    </row>
    <row r="13" spans="1:21">
      <c r="B13" s="2320"/>
      <c r="C13" s="2320"/>
      <c r="D13" s="2320"/>
      <c r="E13" s="2320"/>
      <c r="F13" s="2320"/>
    </row>
    <row r="14" spans="1:21">
      <c r="A14" s="2321" t="s">
        <v>62</v>
      </c>
      <c r="B14" s="2321"/>
      <c r="C14" s="2321"/>
      <c r="D14" s="2321"/>
      <c r="E14" s="2321"/>
      <c r="F14" s="2321"/>
      <c r="G14" s="2321"/>
      <c r="H14" s="2321"/>
      <c r="I14" s="2321"/>
      <c r="J14" s="2321"/>
      <c r="K14" s="2321"/>
      <c r="L14" s="2321"/>
      <c r="M14" s="2321"/>
    </row>
    <row r="15" spans="1:21">
      <c r="A15" s="63"/>
      <c r="B15" s="63" t="s">
        <v>64</v>
      </c>
      <c r="C15" s="63" t="s">
        <v>65</v>
      </c>
      <c r="D15" s="63" t="s">
        <v>66</v>
      </c>
      <c r="E15" s="63" t="s">
        <v>67</v>
      </c>
      <c r="F15" s="63" t="s">
        <v>68</v>
      </c>
      <c r="G15" s="63" t="s">
        <v>69</v>
      </c>
      <c r="H15" s="63" t="s">
        <v>70</v>
      </c>
      <c r="I15" s="63" t="s">
        <v>71</v>
      </c>
      <c r="J15" s="63" t="s">
        <v>72</v>
      </c>
      <c r="K15" s="63" t="s">
        <v>73</v>
      </c>
      <c r="L15" s="63" t="s">
        <v>74</v>
      </c>
      <c r="M15" s="63" t="s">
        <v>75</v>
      </c>
    </row>
    <row r="16" spans="1:21">
      <c r="A16" s="68" t="s">
        <v>307</v>
      </c>
      <c r="B16" s="33">
        <f t="shared" ref="B16:G16" si="4">B5</f>
        <v>2</v>
      </c>
      <c r="C16" s="33">
        <f t="shared" si="4"/>
        <v>6</v>
      </c>
      <c r="D16" s="33">
        <f t="shared" si="4"/>
        <v>21</v>
      </c>
      <c r="E16" s="33">
        <f t="shared" si="4"/>
        <v>96</v>
      </c>
      <c r="F16" s="33">
        <f t="shared" si="4"/>
        <v>7</v>
      </c>
      <c r="G16" s="33">
        <f t="shared" si="4"/>
        <v>28</v>
      </c>
      <c r="H16" s="33">
        <f t="shared" ref="H16:H22" si="5">AVERAGE(H5:I5)</f>
        <v>18.5</v>
      </c>
      <c r="I16" s="33">
        <f t="shared" ref="I16:I22" si="6">AVERAGE(J5:K5)</f>
        <v>88</v>
      </c>
      <c r="J16" s="33">
        <f t="shared" ref="J16:J22" si="7">AVERAGE(L5:M5)</f>
        <v>12</v>
      </c>
      <c r="K16" s="33">
        <f t="shared" ref="K16:M22" si="8">N5</f>
        <v>13</v>
      </c>
      <c r="L16" s="33">
        <f t="shared" si="8"/>
        <v>6</v>
      </c>
      <c r="M16" s="33">
        <f t="shared" si="8"/>
        <v>41</v>
      </c>
    </row>
    <row r="17" spans="1:13">
      <c r="A17" s="68" t="s">
        <v>306</v>
      </c>
      <c r="B17" s="33">
        <f t="shared" ref="B17:G19" si="9">B6</f>
        <v>19</v>
      </c>
      <c r="C17" s="33">
        <f t="shared" si="9"/>
        <v>21</v>
      </c>
      <c r="D17" s="33">
        <f t="shared" si="9"/>
        <v>37</v>
      </c>
      <c r="E17" s="33">
        <f t="shared" si="9"/>
        <v>19</v>
      </c>
      <c r="F17" s="33">
        <f t="shared" si="9"/>
        <v>25</v>
      </c>
      <c r="G17" s="33">
        <f t="shared" si="9"/>
        <v>50</v>
      </c>
      <c r="H17" s="33">
        <f t="shared" si="5"/>
        <v>38</v>
      </c>
      <c r="I17" s="33">
        <f t="shared" si="6"/>
        <v>52</v>
      </c>
      <c r="J17" s="33">
        <f t="shared" si="7"/>
        <v>93.5</v>
      </c>
      <c r="K17" s="33">
        <f t="shared" si="8"/>
        <v>23</v>
      </c>
      <c r="L17" s="33">
        <f t="shared" si="8"/>
        <v>16</v>
      </c>
      <c r="M17" s="33">
        <f t="shared" si="8"/>
        <v>60</v>
      </c>
    </row>
    <row r="18" spans="1:13">
      <c r="A18" s="69" t="s">
        <v>308</v>
      </c>
      <c r="B18" s="33">
        <f t="shared" si="9"/>
        <v>37</v>
      </c>
      <c r="C18" s="33">
        <f t="shared" si="9"/>
        <v>47</v>
      </c>
      <c r="D18" s="33">
        <f t="shared" si="9"/>
        <v>37</v>
      </c>
      <c r="E18" s="33">
        <f t="shared" si="9"/>
        <v>49</v>
      </c>
      <c r="F18" s="33">
        <f t="shared" si="9"/>
        <v>28</v>
      </c>
      <c r="G18" s="33">
        <f t="shared" si="9"/>
        <v>24</v>
      </c>
      <c r="H18" s="33">
        <f t="shared" si="5"/>
        <v>28.5</v>
      </c>
      <c r="I18" s="33">
        <f t="shared" si="6"/>
        <v>43.5</v>
      </c>
      <c r="J18" s="33">
        <f t="shared" si="7"/>
        <v>45</v>
      </c>
      <c r="K18" s="33">
        <f t="shared" si="8"/>
        <v>33</v>
      </c>
      <c r="L18" s="33">
        <f t="shared" si="8"/>
        <v>21</v>
      </c>
      <c r="M18" s="33">
        <f t="shared" si="8"/>
        <v>13</v>
      </c>
    </row>
    <row r="19" spans="1:13">
      <c r="A19" s="69" t="s">
        <v>944</v>
      </c>
      <c r="B19" s="33">
        <f t="shared" si="9"/>
        <v>44</v>
      </c>
      <c r="C19" s="33">
        <f t="shared" si="9"/>
        <v>28</v>
      </c>
      <c r="D19" s="33">
        <f t="shared" si="9"/>
        <v>30</v>
      </c>
      <c r="E19" s="33">
        <f t="shared" si="9"/>
        <v>71</v>
      </c>
      <c r="F19" s="33">
        <f t="shared" si="9"/>
        <v>17</v>
      </c>
      <c r="G19" s="33">
        <f t="shared" si="9"/>
        <v>35</v>
      </c>
      <c r="H19" s="33">
        <f t="shared" si="5"/>
        <v>60.5</v>
      </c>
      <c r="I19" s="33">
        <f t="shared" si="6"/>
        <v>48</v>
      </c>
      <c r="J19" s="33">
        <f t="shared" si="7"/>
        <v>100</v>
      </c>
      <c r="K19" s="33">
        <f t="shared" si="8"/>
        <v>18</v>
      </c>
      <c r="L19" s="33">
        <f t="shared" si="8"/>
        <v>21</v>
      </c>
      <c r="M19" s="33">
        <f t="shared" si="8"/>
        <v>9</v>
      </c>
    </row>
    <row r="20" spans="1:13">
      <c r="A20" s="67" t="s">
        <v>386</v>
      </c>
      <c r="B20" s="33">
        <f t="shared" ref="B20:G22" si="10">B9</f>
        <v>31</v>
      </c>
      <c r="C20" s="33">
        <f t="shared" si="10"/>
        <v>79</v>
      </c>
      <c r="D20" s="33">
        <f t="shared" si="10"/>
        <v>27</v>
      </c>
      <c r="E20" s="33">
        <f t="shared" si="10"/>
        <v>58</v>
      </c>
      <c r="F20" s="33">
        <f t="shared" si="10"/>
        <v>18</v>
      </c>
      <c r="G20" s="33">
        <f t="shared" si="10"/>
        <v>31</v>
      </c>
      <c r="H20" s="33">
        <f t="shared" si="5"/>
        <v>24</v>
      </c>
      <c r="I20" s="33">
        <f t="shared" si="6"/>
        <v>42</v>
      </c>
      <c r="J20" s="33">
        <f t="shared" si="7"/>
        <v>35.5</v>
      </c>
      <c r="K20" s="33">
        <f t="shared" ref="K20:L22" si="11">N9</f>
        <v>64</v>
      </c>
      <c r="L20" s="33">
        <f t="shared" si="11"/>
        <v>31</v>
      </c>
      <c r="M20" s="33">
        <f t="shared" si="8"/>
        <v>21</v>
      </c>
    </row>
    <row r="21" spans="1:13">
      <c r="A21" s="67" t="s">
        <v>387</v>
      </c>
      <c r="B21" s="33">
        <f t="shared" si="10"/>
        <v>65</v>
      </c>
      <c r="C21" s="33">
        <f t="shared" si="10"/>
        <v>38</v>
      </c>
      <c r="D21" s="33">
        <f t="shared" si="10"/>
        <v>42</v>
      </c>
      <c r="E21" s="33">
        <f t="shared" si="10"/>
        <v>93</v>
      </c>
      <c r="F21" s="33">
        <f t="shared" si="10"/>
        <v>25</v>
      </c>
      <c r="G21" s="33">
        <f t="shared" si="10"/>
        <v>48</v>
      </c>
      <c r="H21" s="33">
        <f t="shared" si="5"/>
        <v>297</v>
      </c>
      <c r="I21" s="33">
        <f t="shared" si="6"/>
        <v>84.5</v>
      </c>
      <c r="J21" s="33">
        <f t="shared" si="7"/>
        <v>54.5</v>
      </c>
      <c r="K21" s="33">
        <f t="shared" si="11"/>
        <v>61</v>
      </c>
      <c r="L21" s="33">
        <f t="shared" si="11"/>
        <v>37</v>
      </c>
      <c r="M21" s="33">
        <f t="shared" si="8"/>
        <v>223</v>
      </c>
    </row>
    <row r="22" spans="1:13">
      <c r="A22" s="122" t="s">
        <v>314</v>
      </c>
      <c r="B22" s="33">
        <f t="shared" si="10"/>
        <v>48</v>
      </c>
      <c r="C22" s="33">
        <f t="shared" si="10"/>
        <v>58.5</v>
      </c>
      <c r="D22" s="33">
        <f t="shared" si="10"/>
        <v>34.5</v>
      </c>
      <c r="E22" s="33">
        <f t="shared" si="10"/>
        <v>75.5</v>
      </c>
      <c r="F22" s="33">
        <f t="shared" si="10"/>
        <v>21.5</v>
      </c>
      <c r="G22" s="33">
        <f t="shared" si="10"/>
        <v>39.5</v>
      </c>
      <c r="H22" s="33">
        <f t="shared" si="5"/>
        <v>160.5</v>
      </c>
      <c r="I22" s="33">
        <f t="shared" si="6"/>
        <v>63.25</v>
      </c>
      <c r="J22" s="33">
        <f t="shared" si="7"/>
        <v>45</v>
      </c>
      <c r="K22" s="33">
        <f t="shared" si="11"/>
        <v>62.5</v>
      </c>
      <c r="L22" s="33">
        <f t="shared" si="11"/>
        <v>34</v>
      </c>
      <c r="M22" s="33">
        <f t="shared" si="8"/>
        <v>122</v>
      </c>
    </row>
    <row r="30" spans="1:13">
      <c r="A30" s="17"/>
    </row>
    <row r="31" spans="1:13">
      <c r="A31"/>
    </row>
    <row r="32" spans="1:13">
      <c r="B32" s="1"/>
      <c r="C32" s="1"/>
      <c r="D32" s="1"/>
      <c r="E32" s="1"/>
    </row>
    <row r="33" spans="2:5">
      <c r="B33" s="1"/>
      <c r="C33" s="1"/>
      <c r="D33" s="1"/>
      <c r="E33" s="1"/>
    </row>
    <row r="34" spans="2:5">
      <c r="B34" s="2"/>
      <c r="C34" s="2"/>
      <c r="D34" s="2"/>
      <c r="E34" s="2"/>
    </row>
    <row r="35" spans="2:5">
      <c r="B35" s="2"/>
      <c r="C35" s="2"/>
      <c r="D35" s="2"/>
      <c r="E35" s="2"/>
    </row>
    <row r="36" spans="2:5">
      <c r="B36" s="2"/>
      <c r="C36" s="2"/>
      <c r="D36" s="2"/>
      <c r="E36" s="2"/>
    </row>
    <row r="37" spans="2:5">
      <c r="B37" s="2"/>
      <c r="C37" s="2"/>
      <c r="D37" s="2"/>
      <c r="E37" s="2"/>
    </row>
    <row r="38" spans="2:5">
      <c r="B38" s="2"/>
      <c r="C38" s="2"/>
      <c r="D38" s="2"/>
      <c r="E38" s="2"/>
    </row>
    <row r="39" spans="2:5">
      <c r="B39" s="2"/>
      <c r="C39" s="2"/>
      <c r="D39" s="2"/>
      <c r="E39" s="2"/>
    </row>
    <row r="40" spans="2:5">
      <c r="B40" s="2"/>
      <c r="C40" s="2"/>
      <c r="D40" s="2"/>
      <c r="E40" s="2"/>
    </row>
    <row r="41" spans="2:5">
      <c r="B41" s="2"/>
      <c r="C41" s="2"/>
      <c r="D41" s="2"/>
      <c r="E41" s="2"/>
    </row>
  </sheetData>
  <mergeCells count="5">
    <mergeCell ref="A1:O1"/>
    <mergeCell ref="A2:O2"/>
    <mergeCell ref="B12:F12"/>
    <mergeCell ref="B13:F13"/>
    <mergeCell ref="A14:M14"/>
  </mergeCells>
  <phoneticPr fontId="0" type="noConversion"/>
  <pageMargins left="0.75" right="0.75" top="1" bottom="1" header="0.5" footer="0.5"/>
  <pageSetup scale="65" orientation="landscape" horizontalDpi="429496729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59999389629810485"/>
  </sheetPr>
  <dimension ref="A1:U22"/>
  <sheetViews>
    <sheetView workbookViewId="0">
      <selection activeCell="B7" sqref="B7:P7"/>
    </sheetView>
  </sheetViews>
  <sheetFormatPr defaultRowHeight="11.5"/>
  <cols>
    <col min="1" max="1" width="27.453125" style="464" customWidth="1"/>
    <col min="2" max="2" width="6.6328125" style="464" bestFit="1" customWidth="1"/>
    <col min="3" max="3" width="6.08984375" style="464" bestFit="1" customWidth="1"/>
    <col min="4" max="4" width="6.54296875" style="464" bestFit="1" customWidth="1"/>
    <col min="5" max="5" width="5.26953125" style="464" bestFit="1" customWidth="1"/>
    <col min="6" max="6" width="6.7265625" style="464" bestFit="1" customWidth="1"/>
    <col min="7" max="7" width="6" style="464" bestFit="1" customWidth="1"/>
    <col min="8" max="8" width="4.81640625" style="464" bestFit="1" customWidth="1"/>
    <col min="9" max="9" width="5.54296875" style="464" bestFit="1" customWidth="1"/>
    <col min="10" max="10" width="5.453125" style="464" bestFit="1" customWidth="1"/>
    <col min="11" max="11" width="6.36328125" style="464" bestFit="1" customWidth="1"/>
    <col min="12" max="13" width="6.08984375" style="464" bestFit="1" customWidth="1"/>
    <col min="14" max="14" width="6.1796875" style="464" bestFit="1" customWidth="1"/>
    <col min="15" max="15" width="6.36328125" style="464" bestFit="1" customWidth="1"/>
    <col min="16" max="16" width="6.26953125" style="464" bestFit="1" customWidth="1"/>
    <col min="17" max="17" width="7.54296875" style="464" bestFit="1" customWidth="1"/>
    <col min="18" max="18" width="4.7265625" style="464" bestFit="1" customWidth="1"/>
    <col min="19" max="19" width="8.08984375" style="464" bestFit="1" customWidth="1"/>
    <col min="20" max="20" width="8.6328125" style="464" bestFit="1" customWidth="1"/>
    <col min="21" max="16384" width="8.7265625" style="464"/>
  </cols>
  <sheetData>
    <row r="1" spans="1:21">
      <c r="A1" s="2322" t="s">
        <v>3</v>
      </c>
      <c r="B1" s="2322"/>
      <c r="C1" s="2322"/>
      <c r="D1" s="2322"/>
      <c r="E1" s="2322"/>
      <c r="F1" s="2322"/>
      <c r="G1" s="2322"/>
      <c r="H1" s="2322"/>
      <c r="I1" s="2322"/>
      <c r="J1" s="2322"/>
      <c r="K1" s="2322"/>
      <c r="L1" s="2322"/>
      <c r="M1" s="2322"/>
      <c r="N1" s="2322"/>
      <c r="O1" s="2322"/>
      <c r="P1" s="1031"/>
    </row>
    <row r="2" spans="1:21">
      <c r="A2" s="2322" t="s">
        <v>476</v>
      </c>
      <c r="B2" s="2322"/>
      <c r="C2" s="2322"/>
      <c r="D2" s="2322"/>
      <c r="E2" s="2322"/>
      <c r="F2" s="2322"/>
      <c r="G2" s="2322"/>
      <c r="H2" s="2322"/>
      <c r="I2" s="2322"/>
      <c r="J2" s="2322"/>
      <c r="K2" s="2322"/>
      <c r="L2" s="2322"/>
      <c r="M2" s="2322"/>
      <c r="N2" s="2322"/>
      <c r="O2" s="2322"/>
      <c r="P2" s="1031"/>
    </row>
    <row r="3" spans="1:21">
      <c r="A3" s="270"/>
    </row>
    <row r="4" spans="1:21" ht="34.5">
      <c r="A4" s="543" t="s">
        <v>2</v>
      </c>
      <c r="B4" s="1284">
        <v>43472</v>
      </c>
      <c r="C4" s="1284">
        <v>43507</v>
      </c>
      <c r="D4" s="1284">
        <v>43545</v>
      </c>
      <c r="E4" s="1284">
        <v>43563</v>
      </c>
      <c r="F4" s="1284">
        <v>43591</v>
      </c>
      <c r="G4" s="1284">
        <v>43626</v>
      </c>
      <c r="H4" s="1284">
        <v>43654</v>
      </c>
      <c r="I4" s="1284">
        <v>43661</v>
      </c>
      <c r="J4" s="1284">
        <v>43682</v>
      </c>
      <c r="K4" s="1284">
        <v>43690</v>
      </c>
      <c r="L4" s="1284">
        <v>43717</v>
      </c>
      <c r="M4" s="1284">
        <v>43724</v>
      </c>
      <c r="N4" s="1284">
        <v>43752</v>
      </c>
      <c r="O4" s="1284">
        <v>43783</v>
      </c>
      <c r="P4" s="1284">
        <v>43808</v>
      </c>
      <c r="Q4" s="550" t="s">
        <v>84</v>
      </c>
      <c r="R4" s="543" t="s">
        <v>76</v>
      </c>
      <c r="S4" s="551" t="s">
        <v>85</v>
      </c>
      <c r="T4" s="551" t="s">
        <v>86</v>
      </c>
      <c r="U4" s="551" t="s">
        <v>87</v>
      </c>
    </row>
    <row r="5" spans="1:21" ht="12.5">
      <c r="A5" s="544" t="s">
        <v>307</v>
      </c>
      <c r="B5" s="1696">
        <v>830</v>
      </c>
      <c r="C5" s="227">
        <v>752</v>
      </c>
      <c r="D5" s="1696">
        <v>900</v>
      </c>
      <c r="E5" s="1696">
        <v>667</v>
      </c>
      <c r="F5" s="1696">
        <v>625</v>
      </c>
      <c r="G5" s="1696">
        <v>463</v>
      </c>
      <c r="H5" s="1696">
        <v>445</v>
      </c>
      <c r="I5" s="1696">
        <v>679</v>
      </c>
      <c r="J5" s="1696">
        <v>664</v>
      </c>
      <c r="K5" s="1696">
        <v>507</v>
      </c>
      <c r="L5" s="1696">
        <v>864</v>
      </c>
      <c r="M5" s="1696">
        <v>657</v>
      </c>
      <c r="N5" s="1696">
        <v>725</v>
      </c>
      <c r="O5" s="1696">
        <v>404</v>
      </c>
      <c r="P5" s="1696">
        <v>808</v>
      </c>
      <c r="Q5" s="552">
        <f t="shared" ref="Q5:Q11" si="0">AVERAGE(B5:O5)</f>
        <v>655.85714285714289</v>
      </c>
      <c r="R5" s="552">
        <f t="shared" ref="R5:R11" si="1">MAX(B5:O5)</f>
        <v>900</v>
      </c>
      <c r="S5" s="552">
        <f t="shared" ref="S5:S11" si="2">AVERAGE(H5:M5)</f>
        <v>636</v>
      </c>
      <c r="T5" s="553">
        <f>AVERAGE(B9:O10)</f>
        <v>726.07142857142856</v>
      </c>
      <c r="U5" s="553">
        <f>AVERAGE(H9:M10)</f>
        <v>467.41666666666669</v>
      </c>
    </row>
    <row r="6" spans="1:21" ht="12.5">
      <c r="A6" s="544" t="s">
        <v>306</v>
      </c>
      <c r="B6" s="1696">
        <v>2028</v>
      </c>
      <c r="C6" s="227">
        <v>1378</v>
      </c>
      <c r="D6" s="1696">
        <v>1534</v>
      </c>
      <c r="E6" s="1696">
        <v>824</v>
      </c>
      <c r="F6" s="1696">
        <v>674</v>
      </c>
      <c r="G6" s="1696">
        <v>446</v>
      </c>
      <c r="H6" s="1696">
        <v>334</v>
      </c>
      <c r="I6" s="1696">
        <v>401</v>
      </c>
      <c r="J6" s="1696">
        <v>501</v>
      </c>
      <c r="K6" s="1696">
        <v>451</v>
      </c>
      <c r="L6" s="1696">
        <v>505</v>
      </c>
      <c r="M6" s="1696">
        <v>750</v>
      </c>
      <c r="N6" s="1696">
        <v>613</v>
      </c>
      <c r="O6" s="1696">
        <v>718</v>
      </c>
      <c r="P6" s="1696">
        <v>825</v>
      </c>
      <c r="Q6" s="552">
        <f t="shared" si="0"/>
        <v>796.92857142857144</v>
      </c>
      <c r="R6" s="552">
        <f t="shared" si="1"/>
        <v>2028</v>
      </c>
      <c r="S6" s="552">
        <f t="shared" si="2"/>
        <v>490.33333333333331</v>
      </c>
      <c r="T6" s="554"/>
      <c r="U6" s="554"/>
    </row>
    <row r="7" spans="1:21" ht="12.5">
      <c r="A7" s="545" t="s">
        <v>308</v>
      </c>
      <c r="B7" s="1696">
        <v>926</v>
      </c>
      <c r="C7" s="227">
        <v>1350</v>
      </c>
      <c r="D7" s="1696">
        <v>1143</v>
      </c>
      <c r="E7" s="1696">
        <v>799</v>
      </c>
      <c r="F7" s="1696">
        <v>811</v>
      </c>
      <c r="G7" s="1696">
        <v>521</v>
      </c>
      <c r="H7" s="1696">
        <v>409</v>
      </c>
      <c r="I7" s="1696">
        <v>374</v>
      </c>
      <c r="J7" s="1696">
        <v>484</v>
      </c>
      <c r="K7" s="1696">
        <v>454</v>
      </c>
      <c r="L7" s="1696">
        <v>572</v>
      </c>
      <c r="M7" s="1696">
        <v>546</v>
      </c>
      <c r="N7" s="1696">
        <v>371</v>
      </c>
      <c r="O7" s="1696">
        <v>426</v>
      </c>
      <c r="P7" s="1696">
        <v>474</v>
      </c>
      <c r="Q7" s="552">
        <f t="shared" si="0"/>
        <v>656.14285714285711</v>
      </c>
      <c r="R7" s="552">
        <f t="shared" si="1"/>
        <v>1350</v>
      </c>
      <c r="S7" s="552">
        <f t="shared" si="2"/>
        <v>473.16666666666669</v>
      </c>
      <c r="T7" s="554"/>
      <c r="U7" s="554"/>
    </row>
    <row r="8" spans="1:21" ht="12.5">
      <c r="A8" s="545" t="s">
        <v>944</v>
      </c>
      <c r="B8" s="1696">
        <v>1442</v>
      </c>
      <c r="C8" s="227">
        <v>1542</v>
      </c>
      <c r="D8" s="1696">
        <v>1136</v>
      </c>
      <c r="E8" s="1696">
        <v>884</v>
      </c>
      <c r="F8" s="1696">
        <v>624</v>
      </c>
      <c r="G8" s="1696">
        <v>522</v>
      </c>
      <c r="H8" s="1696">
        <v>477</v>
      </c>
      <c r="I8" s="1696">
        <v>617</v>
      </c>
      <c r="J8" s="1696">
        <v>505</v>
      </c>
      <c r="K8" s="1696">
        <v>506</v>
      </c>
      <c r="L8" s="1696">
        <v>679</v>
      </c>
      <c r="M8" s="1696">
        <v>911</v>
      </c>
      <c r="N8" s="1696">
        <v>650</v>
      </c>
      <c r="O8" s="1696">
        <v>779</v>
      </c>
      <c r="P8" s="1696">
        <v>835</v>
      </c>
      <c r="Q8" s="552">
        <f t="shared" si="0"/>
        <v>805.28571428571433</v>
      </c>
      <c r="R8" s="552">
        <f t="shared" si="1"/>
        <v>1542</v>
      </c>
      <c r="S8" s="552">
        <f t="shared" si="2"/>
        <v>615.83333333333337</v>
      </c>
      <c r="T8" s="554"/>
      <c r="U8" s="554"/>
    </row>
    <row r="9" spans="1:21" ht="12.5">
      <c r="A9" s="545" t="s">
        <v>313</v>
      </c>
      <c r="B9" s="1696">
        <v>1095</v>
      </c>
      <c r="C9" s="227">
        <v>1657</v>
      </c>
      <c r="D9" s="1696">
        <v>1085</v>
      </c>
      <c r="E9" s="1696">
        <v>955</v>
      </c>
      <c r="F9" s="1696">
        <v>737</v>
      </c>
      <c r="G9" s="1696">
        <v>516</v>
      </c>
      <c r="H9" s="1696">
        <v>429</v>
      </c>
      <c r="I9" s="1696">
        <v>445</v>
      </c>
      <c r="J9" s="1696">
        <v>586</v>
      </c>
      <c r="K9" s="1696">
        <v>502</v>
      </c>
      <c r="L9" s="1696">
        <v>712</v>
      </c>
      <c r="M9" s="1696">
        <v>369</v>
      </c>
      <c r="N9" s="1696">
        <v>606</v>
      </c>
      <c r="O9" s="1696">
        <v>565</v>
      </c>
      <c r="P9" s="1696">
        <v>576</v>
      </c>
      <c r="Q9" s="552">
        <f t="shared" si="0"/>
        <v>732.78571428571433</v>
      </c>
      <c r="R9" s="552">
        <f t="shared" si="1"/>
        <v>1657</v>
      </c>
      <c r="S9" s="552">
        <f t="shared" si="2"/>
        <v>507.16666666666669</v>
      </c>
      <c r="T9" s="554"/>
      <c r="U9" s="554"/>
    </row>
    <row r="10" spans="1:21" ht="12.5">
      <c r="A10" s="545" t="s">
        <v>315</v>
      </c>
      <c r="B10" s="1696">
        <v>810</v>
      </c>
      <c r="C10" s="227">
        <v>1264</v>
      </c>
      <c r="D10" s="1696">
        <v>1760</v>
      </c>
      <c r="E10" s="1696">
        <v>1096</v>
      </c>
      <c r="F10" s="1696">
        <v>755</v>
      </c>
      <c r="G10" s="1696">
        <v>735</v>
      </c>
      <c r="H10" s="1696">
        <v>586</v>
      </c>
      <c r="I10" s="1696">
        <v>45</v>
      </c>
      <c r="J10" s="1696">
        <v>570</v>
      </c>
      <c r="K10" s="1696">
        <v>508</v>
      </c>
      <c r="L10" s="1696">
        <v>443</v>
      </c>
      <c r="M10" s="1696">
        <v>414</v>
      </c>
      <c r="N10" s="1696">
        <v>453</v>
      </c>
      <c r="O10" s="1696">
        <v>632</v>
      </c>
      <c r="P10" s="1696">
        <v>676</v>
      </c>
      <c r="Q10" s="552">
        <f t="shared" si="0"/>
        <v>719.35714285714289</v>
      </c>
      <c r="R10" s="552">
        <f t="shared" si="1"/>
        <v>1760</v>
      </c>
      <c r="S10" s="552">
        <f t="shared" si="2"/>
        <v>427.66666666666669</v>
      </c>
      <c r="T10" s="554"/>
      <c r="U10" s="554"/>
    </row>
    <row r="11" spans="1:21">
      <c r="A11" s="546" t="s">
        <v>314</v>
      </c>
      <c r="B11" s="547">
        <f>AVERAGE(B9:B10)</f>
        <v>952.5</v>
      </c>
      <c r="C11" s="547">
        <f t="shared" ref="C11:P11" si="3">AVERAGE(C9:C10)</f>
        <v>1460.5</v>
      </c>
      <c r="D11" s="547">
        <f t="shared" si="3"/>
        <v>1422.5</v>
      </c>
      <c r="E11" s="547">
        <f t="shared" si="3"/>
        <v>1025.5</v>
      </c>
      <c r="F11" s="547">
        <f t="shared" si="3"/>
        <v>746</v>
      </c>
      <c r="G11" s="547">
        <f t="shared" si="3"/>
        <v>625.5</v>
      </c>
      <c r="H11" s="547">
        <f t="shared" si="3"/>
        <v>507.5</v>
      </c>
      <c r="I11" s="547">
        <f t="shared" si="3"/>
        <v>245</v>
      </c>
      <c r="J11" s="547">
        <f t="shared" si="3"/>
        <v>578</v>
      </c>
      <c r="K11" s="547">
        <f t="shared" si="3"/>
        <v>505</v>
      </c>
      <c r="L11" s="547">
        <f t="shared" si="3"/>
        <v>577.5</v>
      </c>
      <c r="M11" s="547">
        <f t="shared" si="3"/>
        <v>391.5</v>
      </c>
      <c r="N11" s="547">
        <f t="shared" si="3"/>
        <v>529.5</v>
      </c>
      <c r="O11" s="547">
        <f t="shared" si="3"/>
        <v>598.5</v>
      </c>
      <c r="P11" s="547">
        <f t="shared" si="3"/>
        <v>626</v>
      </c>
      <c r="Q11" s="552">
        <f t="shared" si="0"/>
        <v>726.07142857142856</v>
      </c>
      <c r="R11" s="552">
        <f t="shared" si="1"/>
        <v>1460.5</v>
      </c>
      <c r="S11" s="552">
        <f t="shared" si="2"/>
        <v>467.41666666666669</v>
      </c>
      <c r="T11" s="555"/>
      <c r="U11" s="555"/>
    </row>
    <row r="12" spans="1:21">
      <c r="A12" s="270"/>
      <c r="B12" s="2323"/>
      <c r="C12" s="2323"/>
      <c r="D12" s="2323"/>
      <c r="E12" s="2323"/>
      <c r="F12" s="2323"/>
    </row>
    <row r="13" spans="1:21">
      <c r="A13" s="270"/>
      <c r="B13" s="2323"/>
      <c r="C13" s="2323"/>
      <c r="D13" s="2323"/>
      <c r="E13" s="2323"/>
      <c r="F13" s="2323"/>
    </row>
    <row r="14" spans="1:21">
      <c r="A14" s="2324" t="s">
        <v>244</v>
      </c>
      <c r="B14" s="2324"/>
      <c r="C14" s="2324"/>
      <c r="D14" s="2324"/>
      <c r="E14" s="2324"/>
      <c r="F14" s="2324"/>
      <c r="G14" s="2324"/>
      <c r="H14" s="2324"/>
      <c r="I14" s="2324"/>
      <c r="J14" s="2324"/>
      <c r="K14" s="2324"/>
      <c r="L14" s="2324"/>
      <c r="M14" s="2324"/>
    </row>
    <row r="15" spans="1:21">
      <c r="A15" s="548"/>
      <c r="B15" s="548" t="s">
        <v>64</v>
      </c>
      <c r="C15" s="548" t="s">
        <v>65</v>
      </c>
      <c r="D15" s="548" t="s">
        <v>66</v>
      </c>
      <c r="E15" s="548" t="s">
        <v>67</v>
      </c>
      <c r="F15" s="548" t="s">
        <v>68</v>
      </c>
      <c r="G15" s="548" t="s">
        <v>69</v>
      </c>
      <c r="H15" s="548" t="s">
        <v>70</v>
      </c>
      <c r="I15" s="548" t="s">
        <v>71</v>
      </c>
      <c r="J15" s="548" t="s">
        <v>72</v>
      </c>
      <c r="K15" s="548" t="s">
        <v>73</v>
      </c>
      <c r="L15" s="548" t="s">
        <v>74</v>
      </c>
      <c r="M15" s="548" t="s">
        <v>75</v>
      </c>
    </row>
    <row r="16" spans="1:21">
      <c r="A16" s="544" t="s">
        <v>307</v>
      </c>
      <c r="B16" s="556">
        <f t="shared" ref="B16:G16" si="4">B5</f>
        <v>830</v>
      </c>
      <c r="C16" s="556">
        <f t="shared" si="4"/>
        <v>752</v>
      </c>
      <c r="D16" s="556">
        <f t="shared" si="4"/>
        <v>900</v>
      </c>
      <c r="E16" s="556">
        <f t="shared" si="4"/>
        <v>667</v>
      </c>
      <c r="F16" s="556">
        <f t="shared" si="4"/>
        <v>625</v>
      </c>
      <c r="G16" s="556">
        <f t="shared" si="4"/>
        <v>463</v>
      </c>
      <c r="H16" s="556">
        <f t="shared" ref="H16:H22" si="5">AVERAGE(H5:I5)</f>
        <v>562</v>
      </c>
      <c r="I16" s="556">
        <f t="shared" ref="I16:I22" si="6">AVERAGE(J5:K5)</f>
        <v>585.5</v>
      </c>
      <c r="J16" s="556">
        <f t="shared" ref="J16:J22" si="7">AVERAGE(L5:M5)</f>
        <v>760.5</v>
      </c>
      <c r="K16" s="556">
        <f t="shared" ref="K16:M22" si="8">N5</f>
        <v>725</v>
      </c>
      <c r="L16" s="556">
        <f t="shared" si="8"/>
        <v>404</v>
      </c>
      <c r="M16" s="556">
        <f t="shared" si="8"/>
        <v>808</v>
      </c>
    </row>
    <row r="17" spans="1:13">
      <c r="A17" s="544" t="s">
        <v>306</v>
      </c>
      <c r="B17" s="556">
        <f t="shared" ref="B17:G19" si="9">B6</f>
        <v>2028</v>
      </c>
      <c r="C17" s="556">
        <f t="shared" si="9"/>
        <v>1378</v>
      </c>
      <c r="D17" s="556">
        <f t="shared" si="9"/>
        <v>1534</v>
      </c>
      <c r="E17" s="556">
        <f t="shared" si="9"/>
        <v>824</v>
      </c>
      <c r="F17" s="556">
        <f t="shared" si="9"/>
        <v>674</v>
      </c>
      <c r="G17" s="556">
        <f t="shared" si="9"/>
        <v>446</v>
      </c>
      <c r="H17" s="556">
        <f t="shared" si="5"/>
        <v>367.5</v>
      </c>
      <c r="I17" s="556">
        <f t="shared" si="6"/>
        <v>476</v>
      </c>
      <c r="J17" s="556">
        <f t="shared" si="7"/>
        <v>627.5</v>
      </c>
      <c r="K17" s="556">
        <f t="shared" si="8"/>
        <v>613</v>
      </c>
      <c r="L17" s="556">
        <f t="shared" si="8"/>
        <v>718</v>
      </c>
      <c r="M17" s="556">
        <f t="shared" si="8"/>
        <v>825</v>
      </c>
    </row>
    <row r="18" spans="1:13">
      <c r="A18" s="545" t="s">
        <v>308</v>
      </c>
      <c r="B18" s="556">
        <f t="shared" si="9"/>
        <v>926</v>
      </c>
      <c r="C18" s="556">
        <f t="shared" si="9"/>
        <v>1350</v>
      </c>
      <c r="D18" s="556">
        <f t="shared" si="9"/>
        <v>1143</v>
      </c>
      <c r="E18" s="556">
        <f t="shared" si="9"/>
        <v>799</v>
      </c>
      <c r="F18" s="556">
        <f t="shared" si="9"/>
        <v>811</v>
      </c>
      <c r="G18" s="556">
        <f t="shared" si="9"/>
        <v>521</v>
      </c>
      <c r="H18" s="556">
        <f t="shared" si="5"/>
        <v>391.5</v>
      </c>
      <c r="I18" s="556">
        <f t="shared" si="6"/>
        <v>469</v>
      </c>
      <c r="J18" s="556">
        <f t="shared" si="7"/>
        <v>559</v>
      </c>
      <c r="K18" s="556">
        <f t="shared" si="8"/>
        <v>371</v>
      </c>
      <c r="L18" s="556">
        <f t="shared" si="8"/>
        <v>426</v>
      </c>
      <c r="M18" s="556">
        <f t="shared" si="8"/>
        <v>474</v>
      </c>
    </row>
    <row r="19" spans="1:13">
      <c r="A19" s="545" t="s">
        <v>944</v>
      </c>
      <c r="B19" s="556">
        <f t="shared" si="9"/>
        <v>1442</v>
      </c>
      <c r="C19" s="556">
        <f t="shared" si="9"/>
        <v>1542</v>
      </c>
      <c r="D19" s="556">
        <f t="shared" si="9"/>
        <v>1136</v>
      </c>
      <c r="E19" s="556">
        <f t="shared" si="9"/>
        <v>884</v>
      </c>
      <c r="F19" s="556">
        <f t="shared" si="9"/>
        <v>624</v>
      </c>
      <c r="G19" s="556">
        <f t="shared" si="9"/>
        <v>522</v>
      </c>
      <c r="H19" s="556">
        <f t="shared" si="5"/>
        <v>547</v>
      </c>
      <c r="I19" s="556">
        <f t="shared" si="6"/>
        <v>505.5</v>
      </c>
      <c r="J19" s="556">
        <f t="shared" si="7"/>
        <v>795</v>
      </c>
      <c r="K19" s="556">
        <f t="shared" si="8"/>
        <v>650</v>
      </c>
      <c r="L19" s="556">
        <f t="shared" si="8"/>
        <v>779</v>
      </c>
      <c r="M19" s="556">
        <f t="shared" si="8"/>
        <v>835</v>
      </c>
    </row>
    <row r="20" spans="1:13">
      <c r="A20" s="549" t="s">
        <v>386</v>
      </c>
      <c r="B20" s="556">
        <f t="shared" ref="B20:G22" si="10">B9</f>
        <v>1095</v>
      </c>
      <c r="C20" s="556">
        <f t="shared" si="10"/>
        <v>1657</v>
      </c>
      <c r="D20" s="556">
        <f t="shared" si="10"/>
        <v>1085</v>
      </c>
      <c r="E20" s="556">
        <f t="shared" si="10"/>
        <v>955</v>
      </c>
      <c r="F20" s="556">
        <f t="shared" si="10"/>
        <v>737</v>
      </c>
      <c r="G20" s="556">
        <f t="shared" si="10"/>
        <v>516</v>
      </c>
      <c r="H20" s="556">
        <f t="shared" si="5"/>
        <v>437</v>
      </c>
      <c r="I20" s="556">
        <f t="shared" si="6"/>
        <v>544</v>
      </c>
      <c r="J20" s="556">
        <f t="shared" si="7"/>
        <v>540.5</v>
      </c>
      <c r="K20" s="556">
        <f t="shared" ref="K20:L22" si="11">N9</f>
        <v>606</v>
      </c>
      <c r="L20" s="556">
        <f t="shared" si="11"/>
        <v>565</v>
      </c>
      <c r="M20" s="556">
        <f t="shared" si="8"/>
        <v>576</v>
      </c>
    </row>
    <row r="21" spans="1:13">
      <c r="A21" s="549" t="s">
        <v>387</v>
      </c>
      <c r="B21" s="556">
        <f t="shared" si="10"/>
        <v>810</v>
      </c>
      <c r="C21" s="556">
        <f t="shared" si="10"/>
        <v>1264</v>
      </c>
      <c r="D21" s="556">
        <f t="shared" si="10"/>
        <v>1760</v>
      </c>
      <c r="E21" s="556">
        <f t="shared" si="10"/>
        <v>1096</v>
      </c>
      <c r="F21" s="556">
        <f t="shared" si="10"/>
        <v>755</v>
      </c>
      <c r="G21" s="556">
        <f t="shared" si="10"/>
        <v>735</v>
      </c>
      <c r="H21" s="556">
        <f t="shared" si="5"/>
        <v>315.5</v>
      </c>
      <c r="I21" s="556">
        <f t="shared" si="6"/>
        <v>539</v>
      </c>
      <c r="J21" s="556">
        <f t="shared" si="7"/>
        <v>428.5</v>
      </c>
      <c r="K21" s="556">
        <f t="shared" si="11"/>
        <v>453</v>
      </c>
      <c r="L21" s="556">
        <f t="shared" si="11"/>
        <v>632</v>
      </c>
      <c r="M21" s="556">
        <f t="shared" si="8"/>
        <v>676</v>
      </c>
    </row>
    <row r="22" spans="1:13">
      <c r="A22" s="546" t="s">
        <v>1227</v>
      </c>
      <c r="B22" s="556">
        <f t="shared" si="10"/>
        <v>952.5</v>
      </c>
      <c r="C22" s="556">
        <f t="shared" si="10"/>
        <v>1460.5</v>
      </c>
      <c r="D22" s="556">
        <f t="shared" si="10"/>
        <v>1422.5</v>
      </c>
      <c r="E22" s="556">
        <f t="shared" si="10"/>
        <v>1025.5</v>
      </c>
      <c r="F22" s="556">
        <f t="shared" si="10"/>
        <v>746</v>
      </c>
      <c r="G22" s="556">
        <f t="shared" si="10"/>
        <v>625.5</v>
      </c>
      <c r="H22" s="556">
        <f t="shared" si="5"/>
        <v>376.25</v>
      </c>
      <c r="I22" s="556">
        <f t="shared" si="6"/>
        <v>541.5</v>
      </c>
      <c r="J22" s="556">
        <f t="shared" si="7"/>
        <v>484.5</v>
      </c>
      <c r="K22" s="556">
        <f t="shared" si="11"/>
        <v>529.5</v>
      </c>
      <c r="L22" s="556">
        <f t="shared" si="11"/>
        <v>598.5</v>
      </c>
      <c r="M22" s="556">
        <f t="shared" si="8"/>
        <v>626</v>
      </c>
    </row>
  </sheetData>
  <mergeCells count="5">
    <mergeCell ref="A1:O1"/>
    <mergeCell ref="A2:O2"/>
    <mergeCell ref="B12:F12"/>
    <mergeCell ref="B13:F13"/>
    <mergeCell ref="A14:M14"/>
  </mergeCells>
  <pageMargins left="0.7" right="0.7" top="0.75" bottom="0.75" header="0.3" footer="0.3"/>
  <pageSetup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">
    <tabColor theme="5" tint="0.59999389629810485"/>
    <pageSetUpPr fitToPage="1"/>
  </sheetPr>
  <dimension ref="A1:AA24"/>
  <sheetViews>
    <sheetView topLeftCell="A19" zoomScale="75" zoomScaleNormal="75" workbookViewId="0">
      <selection activeCell="C12" sqref="C12"/>
    </sheetView>
  </sheetViews>
  <sheetFormatPr defaultRowHeight="14"/>
  <cols>
    <col min="1" max="1" width="21.36328125" style="1" customWidth="1"/>
    <col min="2" max="2" width="5.1796875" bestFit="1" customWidth="1"/>
    <col min="3" max="3" width="6.36328125" bestFit="1" customWidth="1"/>
    <col min="4" max="4" width="6.7265625" bestFit="1" customWidth="1"/>
    <col min="5" max="5" width="5.453125" bestFit="1" customWidth="1"/>
    <col min="6" max="6" width="5.90625" bestFit="1" customWidth="1"/>
    <col min="7" max="7" width="6.26953125" bestFit="1" customWidth="1"/>
    <col min="8" max="8" width="4.90625" bestFit="1" customWidth="1"/>
    <col min="9" max="9" width="5.81640625" bestFit="1" customWidth="1"/>
    <col min="10" max="10" width="5.6328125" bestFit="1" customWidth="1"/>
    <col min="11" max="11" width="6.6328125" bestFit="1" customWidth="1"/>
    <col min="12" max="14" width="6.26953125" bestFit="1" customWidth="1"/>
    <col min="15" max="15" width="6.6328125" bestFit="1" customWidth="1"/>
    <col min="16" max="16" width="6.54296875" bestFit="1" customWidth="1"/>
    <col min="17" max="17" width="8" bestFit="1" customWidth="1"/>
    <col min="18" max="18" width="9.7265625" customWidth="1"/>
    <col min="19" max="19" width="5.26953125" bestFit="1" customWidth="1"/>
  </cols>
  <sheetData>
    <row r="1" spans="1:27" ht="15.5">
      <c r="A1" s="2240" t="s">
        <v>0</v>
      </c>
      <c r="B1" s="2240"/>
      <c r="C1" s="2240"/>
      <c r="D1" s="2240"/>
      <c r="E1" s="2240"/>
      <c r="F1" s="2240"/>
      <c r="G1" s="2240"/>
      <c r="H1" s="2240"/>
      <c r="I1" s="2240"/>
      <c r="J1" s="2240"/>
      <c r="K1" s="2240"/>
      <c r="L1" s="2240"/>
      <c r="M1" s="2240"/>
      <c r="N1" s="2240"/>
      <c r="O1" s="2240"/>
      <c r="P1" s="2240"/>
    </row>
    <row r="3" spans="1:27">
      <c r="A3" s="70" t="s">
        <v>1</v>
      </c>
    </row>
    <row r="4" spans="1:27" s="6" customFormat="1" ht="26">
      <c r="A4" s="71" t="s">
        <v>2</v>
      </c>
      <c r="B4" s="1284">
        <v>43472</v>
      </c>
      <c r="C4" s="1284">
        <v>43507</v>
      </c>
      <c r="D4" s="1284">
        <v>43545</v>
      </c>
      <c r="E4" s="1284">
        <v>43563</v>
      </c>
      <c r="F4" s="1284">
        <v>43591</v>
      </c>
      <c r="G4" s="1284">
        <v>43626</v>
      </c>
      <c r="H4" s="1284">
        <v>43654</v>
      </c>
      <c r="I4" s="1284">
        <v>43661</v>
      </c>
      <c r="J4" s="1284">
        <v>43682</v>
      </c>
      <c r="K4" s="1284">
        <v>43690</v>
      </c>
      <c r="L4" s="1284">
        <v>43717</v>
      </c>
      <c r="M4" s="1284">
        <v>43724</v>
      </c>
      <c r="N4" s="1284">
        <v>43752</v>
      </c>
      <c r="O4" s="1284">
        <v>43783</v>
      </c>
      <c r="P4" s="1284">
        <v>43808</v>
      </c>
      <c r="Q4" s="558" t="s">
        <v>15</v>
      </c>
      <c r="R4" s="559" t="s">
        <v>102</v>
      </c>
      <c r="S4" s="560" t="s">
        <v>76</v>
      </c>
    </row>
    <row r="5" spans="1:27">
      <c r="A5" s="156">
        <v>40</v>
      </c>
      <c r="B5" s="1228">
        <v>20.149999999999999</v>
      </c>
      <c r="C5" s="1229">
        <v>19.3</v>
      </c>
      <c r="D5" s="1229">
        <v>13.75</v>
      </c>
      <c r="E5" s="1229">
        <v>15.9</v>
      </c>
      <c r="F5" s="1229">
        <v>1.8</v>
      </c>
      <c r="G5" s="1229">
        <v>8.9499999999999993</v>
      </c>
      <c r="H5" s="1718">
        <v>11.5</v>
      </c>
      <c r="I5" s="1229">
        <v>15.899999999999999</v>
      </c>
      <c r="J5" s="1229">
        <v>2.25</v>
      </c>
      <c r="K5" s="1229">
        <v>4.0999999999999996</v>
      </c>
      <c r="L5" s="1229">
        <v>31</v>
      </c>
      <c r="M5" s="1229">
        <v>18.600000000000001</v>
      </c>
      <c r="N5" s="1718">
        <v>26.65</v>
      </c>
      <c r="O5" s="1044">
        <v>25.25</v>
      </c>
      <c r="P5" s="1044">
        <v>7.4</v>
      </c>
      <c r="Q5" s="1757">
        <f>AVERAGE(B5:P5)</f>
        <v>14.833333333333334</v>
      </c>
      <c r="R5" s="1758">
        <f>AVERAGE(H5:M5)</f>
        <v>13.891666666666666</v>
      </c>
      <c r="S5" s="1758">
        <f>MAX(B5:P5)</f>
        <v>31</v>
      </c>
    </row>
    <row r="6" spans="1:27">
      <c r="A6" s="146"/>
      <c r="B6" s="117"/>
      <c r="C6" s="1034"/>
      <c r="D6" s="1034"/>
      <c r="E6" s="1034"/>
      <c r="F6" s="1034"/>
      <c r="G6" s="1034"/>
      <c r="H6" s="1023"/>
      <c r="I6" s="1034"/>
      <c r="J6" s="1034"/>
      <c r="K6" s="1034"/>
      <c r="L6" s="1034"/>
      <c r="M6" s="1034"/>
      <c r="N6" s="1034"/>
      <c r="O6" s="542"/>
      <c r="P6" s="542"/>
      <c r="Q6" s="445"/>
      <c r="R6" s="446"/>
      <c r="S6" s="446"/>
    </row>
    <row r="8" spans="1:27">
      <c r="A8" s="70" t="s">
        <v>4</v>
      </c>
    </row>
    <row r="9" spans="1:27" s="6" customFormat="1" ht="26">
      <c r="A9" s="71" t="s">
        <v>2</v>
      </c>
      <c r="B9" s="1284">
        <v>43472</v>
      </c>
      <c r="C9" s="1284">
        <v>43507</v>
      </c>
      <c r="D9" s="1284">
        <v>43545</v>
      </c>
      <c r="E9" s="1284">
        <v>43563</v>
      </c>
      <c r="F9" s="1284">
        <v>43591</v>
      </c>
      <c r="G9" s="1284">
        <v>43626</v>
      </c>
      <c r="H9" s="1284">
        <v>43654</v>
      </c>
      <c r="I9" s="1284">
        <v>43661</v>
      </c>
      <c r="J9" s="1284">
        <v>43682</v>
      </c>
      <c r="K9" s="1284">
        <v>43690</v>
      </c>
      <c r="L9" s="1284">
        <v>43717</v>
      </c>
      <c r="M9" s="1284">
        <v>43724</v>
      </c>
      <c r="N9" s="1284">
        <v>43752</v>
      </c>
      <c r="O9" s="1284">
        <v>43783</v>
      </c>
      <c r="P9" s="1284">
        <v>43808</v>
      </c>
      <c r="Q9" s="71" t="s">
        <v>15</v>
      </c>
      <c r="R9" s="73" t="s">
        <v>102</v>
      </c>
      <c r="S9" s="71" t="s">
        <v>76</v>
      </c>
    </row>
    <row r="10" spans="1:27" s="6" customFormat="1" ht="15.5">
      <c r="A10" s="156">
        <v>40</v>
      </c>
      <c r="B10" s="26">
        <v>0.8</v>
      </c>
      <c r="C10" s="258">
        <v>1.05</v>
      </c>
      <c r="D10" s="26">
        <v>1.1000000000000001</v>
      </c>
      <c r="E10" s="26">
        <v>1.1000000000000001</v>
      </c>
      <c r="F10" s="26">
        <v>2.2999999999999998</v>
      </c>
      <c r="G10" s="26">
        <v>1.7</v>
      </c>
      <c r="H10" s="26">
        <v>1.8</v>
      </c>
      <c r="I10" s="26">
        <v>1.35</v>
      </c>
      <c r="J10" s="26">
        <v>1.3</v>
      </c>
      <c r="K10" s="26">
        <v>2</v>
      </c>
      <c r="L10" s="26">
        <v>1</v>
      </c>
      <c r="M10" s="26">
        <v>0.8</v>
      </c>
      <c r="N10" s="26">
        <v>0.9</v>
      </c>
      <c r="O10" s="26">
        <v>1</v>
      </c>
      <c r="P10" s="26">
        <v>3.5</v>
      </c>
      <c r="Q10" s="1754">
        <f>AVERAGE(B10:P10)</f>
        <v>1.4466666666666665</v>
      </c>
      <c r="R10" s="1754">
        <f>AVERAGE(H10:M10)</f>
        <v>1.375</v>
      </c>
      <c r="S10" s="1755">
        <f>MAX(B10:P10)</f>
        <v>3.5</v>
      </c>
    </row>
    <row r="11" spans="1:27" s="6" customFormat="1" ht="15.5">
      <c r="A11" s="156">
        <v>41</v>
      </c>
      <c r="B11" s="26"/>
      <c r="C11" s="258">
        <v>1.1499999999999999</v>
      </c>
      <c r="D11" s="26">
        <v>1.1000000000000001</v>
      </c>
      <c r="E11" s="26">
        <v>0.95</v>
      </c>
      <c r="F11" s="26">
        <v>3.9</v>
      </c>
      <c r="G11" s="26">
        <v>1.75</v>
      </c>
      <c r="H11" s="26">
        <v>1.9</v>
      </c>
      <c r="I11" s="26">
        <v>1.6</v>
      </c>
      <c r="J11" s="26">
        <v>1.3</v>
      </c>
      <c r="K11" s="26">
        <v>1.8</v>
      </c>
      <c r="L11" s="26">
        <v>1</v>
      </c>
      <c r="M11" s="26">
        <v>0.7</v>
      </c>
      <c r="N11" s="26">
        <v>0.85</v>
      </c>
      <c r="O11" s="26">
        <v>1</v>
      </c>
      <c r="P11" s="26"/>
      <c r="Q11" s="1754">
        <f>AVERAGE(B11:P11)</f>
        <v>1.4615384615384619</v>
      </c>
      <c r="R11" s="1754">
        <f>AVERAGE(H11:M11)</f>
        <v>1.3833333333333331</v>
      </c>
      <c r="S11" s="1755">
        <f>MAX(B11:P11)</f>
        <v>3.9</v>
      </c>
    </row>
    <row r="12" spans="1:27" s="6" customFormat="1" ht="15.5">
      <c r="A12" s="156">
        <v>42</v>
      </c>
      <c r="B12" s="26"/>
      <c r="C12" s="26">
        <v>1.05</v>
      </c>
      <c r="D12" s="26">
        <v>1.1000000000000001</v>
      </c>
      <c r="E12" s="26">
        <v>1</v>
      </c>
      <c r="F12" s="26">
        <v>3.5</v>
      </c>
      <c r="G12" s="26">
        <v>1.6</v>
      </c>
      <c r="H12" s="26">
        <v>1.75</v>
      </c>
      <c r="I12" s="26">
        <v>1.35</v>
      </c>
      <c r="J12" s="26">
        <v>1.45</v>
      </c>
      <c r="K12" s="26">
        <v>2</v>
      </c>
      <c r="L12" s="26">
        <v>0.9</v>
      </c>
      <c r="M12" s="26">
        <v>0.7</v>
      </c>
      <c r="N12" s="26">
        <v>0.95</v>
      </c>
      <c r="O12" s="26">
        <v>1</v>
      </c>
      <c r="P12" s="26"/>
      <c r="Q12" s="1754">
        <f>AVERAGE(B12:P12)</f>
        <v>1.4115384615384614</v>
      </c>
      <c r="R12" s="1754">
        <f>AVERAGE(H12:M12)</f>
        <v>1.3583333333333334</v>
      </c>
      <c r="S12" s="1755">
        <f>MAX(B12:P12)</f>
        <v>3.5</v>
      </c>
    </row>
    <row r="13" spans="1:27">
      <c r="A13" s="1759" t="s">
        <v>300</v>
      </c>
      <c r="B13" s="1760">
        <f t="shared" ref="B13:P13" si="0">AVERAGE(B10:B12)</f>
        <v>0.8</v>
      </c>
      <c r="C13" s="1760">
        <f t="shared" si="0"/>
        <v>1.0833333333333333</v>
      </c>
      <c r="D13" s="1760">
        <f t="shared" si="0"/>
        <v>1.1000000000000001</v>
      </c>
      <c r="E13" s="1760">
        <f t="shared" si="0"/>
        <v>1.0166666666666666</v>
      </c>
      <c r="F13" s="1760">
        <f t="shared" si="0"/>
        <v>3.2333333333333329</v>
      </c>
      <c r="G13" s="1760">
        <f t="shared" si="0"/>
        <v>1.6833333333333336</v>
      </c>
      <c r="H13" s="1760">
        <f t="shared" si="0"/>
        <v>1.8166666666666667</v>
      </c>
      <c r="I13" s="1760">
        <f t="shared" si="0"/>
        <v>1.4333333333333336</v>
      </c>
      <c r="J13" s="1760">
        <f t="shared" si="0"/>
        <v>1.3499999999999999</v>
      </c>
      <c r="K13" s="1760">
        <f t="shared" si="0"/>
        <v>1.9333333333333333</v>
      </c>
      <c r="L13" s="1760">
        <f t="shared" si="0"/>
        <v>0.96666666666666667</v>
      </c>
      <c r="M13" s="1760">
        <f t="shared" si="0"/>
        <v>0.73333333333333339</v>
      </c>
      <c r="N13" s="1760">
        <f t="shared" si="0"/>
        <v>0.9</v>
      </c>
      <c r="O13" s="1760">
        <f t="shared" si="0"/>
        <v>1</v>
      </c>
      <c r="P13" s="1760">
        <f t="shared" si="0"/>
        <v>3.5</v>
      </c>
      <c r="Q13" s="1756">
        <f>AVERAGE(B10:P12)</f>
        <v>1.4402439024390246</v>
      </c>
      <c r="R13" s="1754">
        <f>AVERAGE(H13:M13)</f>
        <v>1.3722222222222225</v>
      </c>
      <c r="S13" s="1754"/>
    </row>
    <row r="14" spans="1:27">
      <c r="A14" s="1761" t="s">
        <v>112</v>
      </c>
      <c r="B14" s="26">
        <f>B13*3.28</f>
        <v>2.6240000000000001</v>
      </c>
      <c r="C14" s="26">
        <f t="shared" ref="C14:O14" si="1">C13*3.28</f>
        <v>3.5533333333333328</v>
      </c>
      <c r="D14" s="26">
        <f t="shared" si="1"/>
        <v>3.6080000000000001</v>
      </c>
      <c r="E14" s="26">
        <f t="shared" si="1"/>
        <v>3.3346666666666662</v>
      </c>
      <c r="F14" s="26">
        <f t="shared" si="1"/>
        <v>10.605333333333331</v>
      </c>
      <c r="G14" s="26">
        <f t="shared" si="1"/>
        <v>5.5213333333333336</v>
      </c>
      <c r="H14" s="26">
        <f t="shared" si="1"/>
        <v>5.9586666666666659</v>
      </c>
      <c r="I14" s="26">
        <f t="shared" si="1"/>
        <v>4.7013333333333343</v>
      </c>
      <c r="J14" s="26">
        <f t="shared" si="1"/>
        <v>4.427999999999999</v>
      </c>
      <c r="K14" s="26">
        <f t="shared" si="1"/>
        <v>6.341333333333333</v>
      </c>
      <c r="L14" s="26">
        <f t="shared" si="1"/>
        <v>3.1706666666666665</v>
      </c>
      <c r="M14" s="26">
        <f t="shared" si="1"/>
        <v>2.4053333333333335</v>
      </c>
      <c r="N14" s="26">
        <f t="shared" si="1"/>
        <v>2.952</v>
      </c>
      <c r="O14" s="26">
        <f t="shared" si="1"/>
        <v>3.28</v>
      </c>
      <c r="P14" s="26">
        <f>P13*3.28</f>
        <v>11.479999999999999</v>
      </c>
    </row>
    <row r="15" spans="1:27">
      <c r="A15" s="1" t="s">
        <v>1225</v>
      </c>
      <c r="B15" s="356">
        <v>10.15</v>
      </c>
      <c r="C15" s="356">
        <v>10</v>
      </c>
      <c r="D15" s="356">
        <v>10.1</v>
      </c>
      <c r="E15" s="356">
        <v>10.25</v>
      </c>
      <c r="F15" s="356">
        <v>10.199999999999999</v>
      </c>
      <c r="G15" s="356">
        <v>10.3</v>
      </c>
      <c r="H15" s="356">
        <v>10</v>
      </c>
      <c r="I15" s="356">
        <v>10</v>
      </c>
      <c r="J15" s="356">
        <v>10</v>
      </c>
      <c r="K15" s="356">
        <v>9.8000000000000007</v>
      </c>
      <c r="L15" s="356">
        <v>10</v>
      </c>
      <c r="M15" s="356">
        <v>9.1999999999999993</v>
      </c>
      <c r="N15" s="356">
        <v>9.3000000000000007</v>
      </c>
      <c r="O15" s="356">
        <v>9</v>
      </c>
      <c r="P15" s="1042">
        <v>8.8000000000000007</v>
      </c>
    </row>
    <row r="16" spans="1:27"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>
      <c r="A17" s="55"/>
      <c r="B17" s="72" t="s">
        <v>64</v>
      </c>
      <c r="C17" s="72" t="s">
        <v>65</v>
      </c>
      <c r="D17" s="72" t="s">
        <v>66</v>
      </c>
      <c r="E17" s="72" t="s">
        <v>67</v>
      </c>
      <c r="F17" s="72" t="s">
        <v>68</v>
      </c>
      <c r="G17" s="72" t="s">
        <v>69</v>
      </c>
      <c r="H17" s="72" t="s">
        <v>70</v>
      </c>
      <c r="I17" s="72" t="s">
        <v>71</v>
      </c>
      <c r="J17" s="72" t="s">
        <v>72</v>
      </c>
      <c r="K17" s="72" t="s">
        <v>73</v>
      </c>
      <c r="L17" s="72" t="s">
        <v>74</v>
      </c>
      <c r="M17" s="72" t="s">
        <v>75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>
      <c r="A18" s="55" t="s">
        <v>111</v>
      </c>
      <c r="B18" s="89">
        <f t="shared" ref="B18:G18" si="2">B5</f>
        <v>20.149999999999999</v>
      </c>
      <c r="C18" s="89">
        <f t="shared" si="2"/>
        <v>19.3</v>
      </c>
      <c r="D18" s="89">
        <f t="shared" si="2"/>
        <v>13.75</v>
      </c>
      <c r="E18" s="89">
        <f t="shared" si="2"/>
        <v>15.9</v>
      </c>
      <c r="F18" s="89">
        <f t="shared" si="2"/>
        <v>1.8</v>
      </c>
      <c r="G18" s="89">
        <f t="shared" si="2"/>
        <v>8.9499999999999993</v>
      </c>
      <c r="H18" s="89">
        <f>AVERAGE(H5:I5)</f>
        <v>13.7</v>
      </c>
      <c r="I18" s="89">
        <f>AVERAGE(J5:K5)</f>
        <v>3.1749999999999998</v>
      </c>
      <c r="J18" s="89">
        <f>AVERAGE(L5:M5)</f>
        <v>24.8</v>
      </c>
      <c r="K18" s="89">
        <f>N5</f>
        <v>26.65</v>
      </c>
      <c r="L18" s="89">
        <f>O5</f>
        <v>25.25</v>
      </c>
      <c r="M18" s="89">
        <f>P5</f>
        <v>7.4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>
      <c r="A19" s="55" t="s">
        <v>113</v>
      </c>
      <c r="B19" s="26">
        <f t="shared" ref="B19:G19" si="3">B14</f>
        <v>2.6240000000000001</v>
      </c>
      <c r="C19" s="26">
        <f t="shared" si="3"/>
        <v>3.5533333333333328</v>
      </c>
      <c r="D19" s="26">
        <f t="shared" si="3"/>
        <v>3.6080000000000001</v>
      </c>
      <c r="E19" s="26">
        <f t="shared" si="3"/>
        <v>3.3346666666666662</v>
      </c>
      <c r="F19" s="26">
        <f t="shared" si="3"/>
        <v>10.605333333333331</v>
      </c>
      <c r="G19" s="26">
        <f t="shared" si="3"/>
        <v>5.5213333333333336</v>
      </c>
      <c r="H19" s="26">
        <f>AVERAGE(H14:I14)</f>
        <v>5.33</v>
      </c>
      <c r="I19" s="26">
        <f>AVERAGE(J14:K14)</f>
        <v>5.384666666666666</v>
      </c>
      <c r="J19" s="26">
        <f>AVERAGE(L14:M14)</f>
        <v>2.7880000000000003</v>
      </c>
      <c r="K19" s="26">
        <f>N14</f>
        <v>2.952</v>
      </c>
      <c r="L19" s="26">
        <f>O14</f>
        <v>3.28</v>
      </c>
      <c r="M19" s="26">
        <f>P14</f>
        <v>11.479999999999999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>
      <c r="A21" s="1" t="s">
        <v>970</v>
      </c>
      <c r="B21" s="356">
        <v>12.2</v>
      </c>
      <c r="C21" s="356">
        <v>12.2</v>
      </c>
      <c r="D21" s="356">
        <v>12.2</v>
      </c>
      <c r="E21" s="356">
        <v>12.2</v>
      </c>
      <c r="F21" s="356">
        <v>12.2</v>
      </c>
      <c r="G21" s="356">
        <v>12.2</v>
      </c>
      <c r="H21" s="356">
        <v>12.2</v>
      </c>
      <c r="I21" s="356">
        <v>12.2</v>
      </c>
      <c r="J21" s="356">
        <v>12.2</v>
      </c>
      <c r="K21" s="356">
        <v>12.2</v>
      </c>
      <c r="L21" s="356">
        <v>12.2</v>
      </c>
      <c r="M21" s="356">
        <v>12.2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>
      <c r="A22" s="1" t="s">
        <v>1226</v>
      </c>
      <c r="B22">
        <v>5</v>
      </c>
      <c r="C22">
        <v>5</v>
      </c>
      <c r="D22">
        <v>5</v>
      </c>
      <c r="E22">
        <v>5</v>
      </c>
      <c r="F22">
        <v>5</v>
      </c>
      <c r="G22">
        <v>5</v>
      </c>
      <c r="H22">
        <v>5</v>
      </c>
      <c r="I22">
        <v>5</v>
      </c>
      <c r="J22">
        <v>5</v>
      </c>
      <c r="K22">
        <v>5</v>
      </c>
      <c r="L22">
        <v>5</v>
      </c>
      <c r="M22">
        <v>5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</sheetData>
  <mergeCells count="1">
    <mergeCell ref="A1:P1"/>
  </mergeCells>
  <phoneticPr fontId="0" type="noConversion"/>
  <pageMargins left="0.75" right="0.75" top="1" bottom="1" header="0.5" footer="0.5"/>
  <pageSetup scale="90" orientation="landscape" horizontalDpi="429496729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161"/>
  <sheetViews>
    <sheetView topLeftCell="A148" workbookViewId="0">
      <selection activeCell="A153" sqref="A153:E161"/>
    </sheetView>
  </sheetViews>
  <sheetFormatPr defaultRowHeight="14"/>
  <cols>
    <col min="1" max="1" width="16.453125" customWidth="1"/>
    <col min="2" max="2" width="12.36328125" customWidth="1"/>
    <col min="3" max="3" width="6.36328125" customWidth="1"/>
    <col min="4" max="4" width="7" customWidth="1"/>
    <col min="5" max="5" width="7" bestFit="1" customWidth="1"/>
    <col min="6" max="11" width="5" customWidth="1"/>
    <col min="12" max="13" width="5.54296875" customWidth="1"/>
    <col min="14" max="21" width="5" customWidth="1"/>
    <col min="22" max="22" width="5" bestFit="1" customWidth="1"/>
    <col min="23" max="23" width="5" customWidth="1"/>
    <col min="24" max="26" width="5.54296875" bestFit="1" customWidth="1"/>
    <col min="27" max="30" width="5.54296875" customWidth="1"/>
    <col min="31" max="31" width="6.90625" bestFit="1" customWidth="1"/>
    <col min="32" max="32" width="8.54296875" customWidth="1"/>
    <col min="35" max="35" width="15.6328125" customWidth="1"/>
    <col min="36" max="36" width="13" customWidth="1"/>
  </cols>
  <sheetData>
    <row r="1" spans="1:36" ht="15.5">
      <c r="A1" s="2240" t="s">
        <v>1380</v>
      </c>
      <c r="B1" s="2241"/>
      <c r="C1" s="2241"/>
      <c r="D1" s="2241"/>
      <c r="E1" s="2241"/>
      <c r="F1" s="2241"/>
      <c r="G1" s="2241"/>
      <c r="H1" s="2241"/>
      <c r="I1" s="2241"/>
      <c r="J1" s="2241"/>
      <c r="K1" s="2241"/>
      <c r="L1" s="2241"/>
      <c r="M1" s="2241"/>
      <c r="N1" s="2241"/>
      <c r="O1" s="2241"/>
      <c r="P1" s="2241"/>
      <c r="Q1" s="2241"/>
      <c r="R1" s="2241"/>
      <c r="S1" s="2241"/>
      <c r="T1" s="2241"/>
      <c r="U1" s="2241"/>
      <c r="V1" s="2241"/>
      <c r="W1" s="2241"/>
      <c r="X1" s="2241"/>
      <c r="Y1" s="2241"/>
      <c r="Z1" s="2241"/>
      <c r="AA1" s="2241"/>
      <c r="AB1" s="2241"/>
      <c r="AC1" s="2241"/>
      <c r="AD1" s="2241"/>
      <c r="AE1" s="2241"/>
      <c r="AF1" s="2241"/>
      <c r="AJ1" s="250"/>
    </row>
    <row r="2" spans="1:36">
      <c r="A2" s="2242" t="s">
        <v>8</v>
      </c>
      <c r="B2" s="2244" t="s">
        <v>9</v>
      </c>
      <c r="C2" s="2246" t="s">
        <v>98</v>
      </c>
      <c r="D2" s="2246"/>
      <c r="E2" s="2246"/>
      <c r="F2" s="2246"/>
      <c r="G2" s="2246"/>
      <c r="H2" s="2246"/>
      <c r="I2" s="2246"/>
      <c r="J2" s="2246"/>
      <c r="K2" s="2246"/>
      <c r="L2" s="2246"/>
      <c r="M2" s="2246"/>
      <c r="N2" s="2246"/>
      <c r="O2" s="2246"/>
      <c r="P2" s="2246"/>
      <c r="Q2" s="2246"/>
      <c r="R2" s="2246"/>
      <c r="S2" s="2246"/>
      <c r="T2" s="2246"/>
      <c r="U2" s="2246"/>
      <c r="V2" s="2246"/>
      <c r="W2" s="2246"/>
      <c r="X2" s="2246"/>
      <c r="Y2" s="2246"/>
      <c r="Z2" s="2246"/>
      <c r="AA2" s="2246"/>
      <c r="AB2" s="2246"/>
      <c r="AC2" s="2246"/>
      <c r="AD2" s="2246"/>
      <c r="AE2" s="2246"/>
      <c r="AF2" s="2246"/>
      <c r="AJ2" s="251"/>
    </row>
    <row r="3" spans="1:36" ht="23.5">
      <c r="A3" s="2243"/>
      <c r="B3" s="2245"/>
      <c r="C3" s="1280">
        <v>1991</v>
      </c>
      <c r="D3" s="1280">
        <v>1992</v>
      </c>
      <c r="E3" s="1280">
        <v>1993</v>
      </c>
      <c r="F3" s="1280">
        <v>1994</v>
      </c>
      <c r="G3" s="1280">
        <v>1995</v>
      </c>
      <c r="H3" s="1280">
        <v>1996</v>
      </c>
      <c r="I3" s="1280">
        <v>1997</v>
      </c>
      <c r="J3" s="1280">
        <v>1998</v>
      </c>
      <c r="K3" s="1280">
        <v>1999</v>
      </c>
      <c r="L3" s="1280">
        <v>2000</v>
      </c>
      <c r="M3" s="1280">
        <v>2001</v>
      </c>
      <c r="N3" s="1280">
        <v>2002</v>
      </c>
      <c r="O3" s="1280">
        <v>2003</v>
      </c>
      <c r="P3" s="1280">
        <v>2004</v>
      </c>
      <c r="Q3" s="1280">
        <v>2005</v>
      </c>
      <c r="R3" s="1280">
        <v>2006</v>
      </c>
      <c r="S3" s="1280">
        <v>2007</v>
      </c>
      <c r="T3" s="1280">
        <v>2008</v>
      </c>
      <c r="U3" s="1280">
        <v>2009</v>
      </c>
      <c r="V3" s="1280">
        <v>2010</v>
      </c>
      <c r="W3" s="1280">
        <v>2011</v>
      </c>
      <c r="X3" s="1280">
        <v>2012</v>
      </c>
      <c r="Y3" s="1280">
        <v>2013</v>
      </c>
      <c r="Z3" s="1280">
        <v>2014</v>
      </c>
      <c r="AA3" s="1280">
        <v>2015</v>
      </c>
      <c r="AB3" s="1280">
        <v>2016</v>
      </c>
      <c r="AC3" s="1280">
        <v>2017</v>
      </c>
      <c r="AD3" s="1280">
        <v>2018</v>
      </c>
      <c r="AE3" s="1280">
        <v>2019</v>
      </c>
      <c r="AF3" s="447" t="s">
        <v>1540</v>
      </c>
      <c r="AG3" s="1061" t="s">
        <v>1541</v>
      </c>
      <c r="AH3" s="112"/>
      <c r="AJ3" s="252"/>
    </row>
    <row r="4" spans="1:36">
      <c r="A4" s="2237" t="s">
        <v>10</v>
      </c>
      <c r="B4" s="83" t="s">
        <v>100</v>
      </c>
      <c r="C4" s="62">
        <v>17.670000000000002</v>
      </c>
      <c r="D4" s="62">
        <v>26.03</v>
      </c>
      <c r="E4" s="62">
        <v>13.73</v>
      </c>
      <c r="F4" s="62">
        <v>29.68</v>
      </c>
      <c r="G4" s="62">
        <v>9.4</v>
      </c>
      <c r="H4" s="62">
        <v>17.100000000000001</v>
      </c>
      <c r="I4" s="62">
        <v>8.23</v>
      </c>
      <c r="J4" s="62">
        <v>4.9000000000000004</v>
      </c>
      <c r="K4" s="62">
        <v>6.2</v>
      </c>
      <c r="L4" s="82">
        <v>23.9</v>
      </c>
      <c r="M4" s="82">
        <v>24.6</v>
      </c>
      <c r="N4" s="82">
        <v>15.4</v>
      </c>
      <c r="O4" s="82">
        <v>14.8</v>
      </c>
      <c r="P4" s="82">
        <v>6.6</v>
      </c>
      <c r="Q4" s="82">
        <v>15.4</v>
      </c>
      <c r="R4" s="82">
        <v>9.1</v>
      </c>
      <c r="S4" s="82">
        <v>9.3000000000000007</v>
      </c>
      <c r="T4" s="82">
        <v>17.3</v>
      </c>
      <c r="U4" s="82">
        <v>12.5</v>
      </c>
      <c r="V4" s="82">
        <v>10.6</v>
      </c>
      <c r="W4" s="82">
        <v>10.8</v>
      </c>
      <c r="X4" s="82">
        <v>14.9</v>
      </c>
      <c r="Y4" s="82">
        <v>14.6</v>
      </c>
      <c r="Z4" s="82">
        <v>5</v>
      </c>
      <c r="AA4" s="82">
        <v>13.2</v>
      </c>
      <c r="AB4" s="82">
        <v>10.1</v>
      </c>
      <c r="AC4" s="82">
        <v>12.8</v>
      </c>
      <c r="AD4" s="82">
        <v>16.399999999999999</v>
      </c>
      <c r="AE4" s="82">
        <v>14.8</v>
      </c>
      <c r="AF4" s="1281">
        <f>AVERAGE(C4:AE4)</f>
        <v>13.96689655172414</v>
      </c>
      <c r="AG4" s="113">
        <f>MEDIAN(C4:AC4)</f>
        <v>13.2</v>
      </c>
      <c r="AJ4" s="157"/>
    </row>
    <row r="5" spans="1:36" ht="13.75" hidden="1" customHeight="1">
      <c r="A5" s="2238"/>
      <c r="B5" s="83" t="s">
        <v>101</v>
      </c>
      <c r="C5" s="62">
        <v>19.82</v>
      </c>
      <c r="D5" s="62">
        <v>15.51</v>
      </c>
      <c r="E5" s="62">
        <v>5.85</v>
      </c>
      <c r="F5" s="62">
        <v>17.02</v>
      </c>
      <c r="G5" s="62">
        <v>6.2</v>
      </c>
      <c r="H5" s="62">
        <v>10.3</v>
      </c>
      <c r="I5" s="62">
        <v>2.4300000000000002</v>
      </c>
      <c r="J5" s="62">
        <v>5.4</v>
      </c>
      <c r="K5" s="62">
        <v>5.5</v>
      </c>
      <c r="L5" s="82">
        <v>8.9</v>
      </c>
      <c r="M5" s="82">
        <v>6.3</v>
      </c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1281">
        <f t="shared" ref="AF5:AF21" si="0">AVERAGE(C5:AC5)</f>
        <v>9.3845454545454565</v>
      </c>
      <c r="AG5" s="113">
        <f t="shared" ref="AG5:AG22" si="1">MEDIAN(C5:AC5)</f>
        <v>6.3</v>
      </c>
      <c r="AJ5" s="251"/>
    </row>
    <row r="6" spans="1:36" ht="14.25" hidden="1" customHeight="1">
      <c r="A6" s="2239"/>
      <c r="B6" s="28" t="s">
        <v>99</v>
      </c>
      <c r="C6" s="84">
        <f t="shared" ref="C6:J6" si="2">AVERAGE(C4:C5)</f>
        <v>18.745000000000001</v>
      </c>
      <c r="D6" s="84">
        <f t="shared" si="2"/>
        <v>20.77</v>
      </c>
      <c r="E6" s="84">
        <f t="shared" si="2"/>
        <v>9.7899999999999991</v>
      </c>
      <c r="F6" s="84">
        <f t="shared" si="2"/>
        <v>23.35</v>
      </c>
      <c r="G6" s="84">
        <f t="shared" si="2"/>
        <v>7.8000000000000007</v>
      </c>
      <c r="H6" s="84">
        <f t="shared" si="2"/>
        <v>13.700000000000001</v>
      </c>
      <c r="I6" s="84">
        <f t="shared" si="2"/>
        <v>5.33</v>
      </c>
      <c r="J6" s="84">
        <f t="shared" si="2"/>
        <v>5.15</v>
      </c>
      <c r="K6" s="84">
        <f>AVERAGE(K4:K5)</f>
        <v>5.85</v>
      </c>
      <c r="L6" s="84">
        <f>AVERAGE(L4:L5)</f>
        <v>16.399999999999999</v>
      </c>
      <c r="M6" s="84">
        <f>AVERAGE(M4:M5)</f>
        <v>15.450000000000001</v>
      </c>
      <c r="N6" s="84">
        <f>AVERAGE(N4:N5)</f>
        <v>15.4</v>
      </c>
      <c r="O6" s="84">
        <f t="shared" ref="O6:T6" si="3">AVERAGE(O4:O5)</f>
        <v>14.8</v>
      </c>
      <c r="P6" s="84">
        <f t="shared" si="3"/>
        <v>6.6</v>
      </c>
      <c r="Q6" s="84">
        <f t="shared" si="3"/>
        <v>15.4</v>
      </c>
      <c r="R6" s="84">
        <f t="shared" si="3"/>
        <v>9.1</v>
      </c>
      <c r="S6" s="84">
        <f t="shared" si="3"/>
        <v>9.3000000000000007</v>
      </c>
      <c r="T6" s="84">
        <f t="shared" si="3"/>
        <v>17.3</v>
      </c>
      <c r="U6" s="84">
        <f t="shared" ref="U6:Z6" si="4">AVERAGE(U4:U5)</f>
        <v>12.5</v>
      </c>
      <c r="V6" s="84">
        <f t="shared" si="4"/>
        <v>10.6</v>
      </c>
      <c r="W6" s="84">
        <f t="shared" si="4"/>
        <v>10.8</v>
      </c>
      <c r="X6" s="84">
        <f t="shared" si="4"/>
        <v>14.9</v>
      </c>
      <c r="Y6" s="84">
        <f t="shared" si="4"/>
        <v>14.6</v>
      </c>
      <c r="Z6" s="84">
        <f t="shared" si="4"/>
        <v>5</v>
      </c>
      <c r="AA6" s="84"/>
      <c r="AB6" s="84"/>
      <c r="AC6" s="84"/>
      <c r="AD6" s="84"/>
      <c r="AE6" s="84"/>
      <c r="AF6" s="1281">
        <f t="shared" si="0"/>
        <v>12.443125</v>
      </c>
      <c r="AG6" s="113">
        <f t="shared" si="1"/>
        <v>13.100000000000001</v>
      </c>
      <c r="AJ6" s="51"/>
    </row>
    <row r="7" spans="1:36" ht="14.25" customHeight="1">
      <c r="A7" s="2234" t="s">
        <v>389</v>
      </c>
      <c r="B7" s="123" t="s">
        <v>100</v>
      </c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>
        <v>491</v>
      </c>
      <c r="Y7" s="62">
        <v>782</v>
      </c>
      <c r="Z7" s="62">
        <v>677</v>
      </c>
      <c r="AA7" s="62">
        <v>926</v>
      </c>
      <c r="AB7" s="62">
        <v>759</v>
      </c>
      <c r="AC7" s="62">
        <v>746</v>
      </c>
      <c r="AD7" s="62">
        <v>800</v>
      </c>
      <c r="AE7" s="62">
        <v>902</v>
      </c>
      <c r="AF7" s="1281">
        <f>AVERAGE(C7:AE7)</f>
        <v>760.375</v>
      </c>
      <c r="AG7" s="113">
        <f t="shared" si="1"/>
        <v>752.5</v>
      </c>
      <c r="AJ7" s="51"/>
    </row>
    <row r="8" spans="1:36" ht="14.25" customHeight="1">
      <c r="A8" s="2235"/>
      <c r="B8" s="123" t="s">
        <v>234</v>
      </c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>
        <v>516</v>
      </c>
      <c r="Y8" s="62">
        <v>721</v>
      </c>
      <c r="Z8" s="62">
        <v>728</v>
      </c>
      <c r="AA8" s="62">
        <v>929</v>
      </c>
      <c r="AB8" s="62">
        <v>799</v>
      </c>
      <c r="AC8" s="62">
        <v>795</v>
      </c>
      <c r="AD8" s="62">
        <v>820</v>
      </c>
      <c r="AE8" s="62">
        <v>841</v>
      </c>
      <c r="AF8" s="1281">
        <f>AVERAGE(C8:AE8)</f>
        <v>768.625</v>
      </c>
      <c r="AG8" s="113">
        <f t="shared" si="1"/>
        <v>761.5</v>
      </c>
      <c r="AJ8" s="249"/>
    </row>
    <row r="9" spans="1:36" ht="14.25" customHeight="1">
      <c r="A9" s="2236"/>
      <c r="B9" s="123" t="s">
        <v>99</v>
      </c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>
        <f>AVERAGE(X7:X8)</f>
        <v>503.5</v>
      </c>
      <c r="Y9" s="62">
        <f>AVERAGE(Y7:Y8)</f>
        <v>751.5</v>
      </c>
      <c r="Z9" s="62">
        <f>AVERAGE(Z7:Z8)</f>
        <v>702.5</v>
      </c>
      <c r="AA9" s="62">
        <f>AVERAGE(AA7:AA8)</f>
        <v>927.5</v>
      </c>
      <c r="AB9" s="62">
        <f>AVERAGE(AB7:AB8)</f>
        <v>779</v>
      </c>
      <c r="AC9" s="62">
        <f t="shared" ref="AC9:AE9" si="5">AVERAGE(AC7:AC8)</f>
        <v>770.5</v>
      </c>
      <c r="AD9" s="62">
        <f t="shared" si="5"/>
        <v>810</v>
      </c>
      <c r="AE9" s="62">
        <f t="shared" si="5"/>
        <v>871.5</v>
      </c>
      <c r="AF9" s="1281">
        <f t="shared" si="0"/>
        <v>739.08333333333337</v>
      </c>
      <c r="AG9" s="113">
        <f t="shared" si="1"/>
        <v>761</v>
      </c>
      <c r="AJ9" s="249"/>
    </row>
    <row r="10" spans="1:36">
      <c r="A10" s="2237" t="s">
        <v>11</v>
      </c>
      <c r="B10" s="83" t="s">
        <v>100</v>
      </c>
      <c r="C10" s="79">
        <v>442</v>
      </c>
      <c r="D10" s="79">
        <v>289</v>
      </c>
      <c r="E10" s="79">
        <v>504</v>
      </c>
      <c r="F10" s="79">
        <v>382</v>
      </c>
      <c r="G10" s="79">
        <v>474</v>
      </c>
      <c r="H10" s="79">
        <v>578</v>
      </c>
      <c r="I10" s="79">
        <v>393</v>
      </c>
      <c r="J10" s="79">
        <v>388</v>
      </c>
      <c r="K10" s="79">
        <v>224</v>
      </c>
      <c r="L10" s="79">
        <v>431</v>
      </c>
      <c r="M10" s="79">
        <v>401</v>
      </c>
      <c r="N10" s="79">
        <v>289</v>
      </c>
      <c r="O10" s="79">
        <v>268</v>
      </c>
      <c r="P10" s="79">
        <v>268</v>
      </c>
      <c r="Q10" s="61">
        <v>193.23769230769227</v>
      </c>
      <c r="R10" s="61">
        <v>158.27857142857144</v>
      </c>
      <c r="S10" s="36">
        <v>221.96199999999999</v>
      </c>
      <c r="T10" s="36">
        <v>233</v>
      </c>
      <c r="U10" s="36">
        <v>291</v>
      </c>
      <c r="V10" s="36">
        <v>287</v>
      </c>
      <c r="W10" s="36">
        <v>158</v>
      </c>
      <c r="X10" s="36">
        <v>165</v>
      </c>
      <c r="Y10" s="36">
        <v>161</v>
      </c>
      <c r="Z10" s="36">
        <v>307</v>
      </c>
      <c r="AA10" s="36">
        <v>377</v>
      </c>
      <c r="AB10" s="36"/>
      <c r="AC10" s="36"/>
      <c r="AD10" s="36"/>
      <c r="AE10" s="36"/>
      <c r="AF10" s="1281">
        <f t="shared" si="0"/>
        <v>315.33913054945054</v>
      </c>
      <c r="AG10" s="113">
        <f t="shared" si="1"/>
        <v>289</v>
      </c>
      <c r="AJ10" s="56"/>
    </row>
    <row r="11" spans="1:36" ht="13.75" hidden="1" customHeight="1">
      <c r="A11" s="2238"/>
      <c r="B11" s="83" t="s">
        <v>101</v>
      </c>
      <c r="C11" s="79">
        <v>381</v>
      </c>
      <c r="D11" s="79">
        <v>282</v>
      </c>
      <c r="E11" s="79">
        <v>451</v>
      </c>
      <c r="F11" s="79">
        <v>356</v>
      </c>
      <c r="G11" s="79">
        <v>502</v>
      </c>
      <c r="H11" s="79">
        <v>589</v>
      </c>
      <c r="I11" s="79">
        <v>365</v>
      </c>
      <c r="J11" s="79">
        <v>372</v>
      </c>
      <c r="K11" s="79">
        <v>220</v>
      </c>
      <c r="L11" s="79">
        <v>443</v>
      </c>
      <c r="M11" s="79">
        <v>395</v>
      </c>
      <c r="N11" s="79">
        <v>288</v>
      </c>
      <c r="O11" s="79">
        <v>271</v>
      </c>
      <c r="P11" s="79">
        <v>249</v>
      </c>
      <c r="Q11" s="61">
        <v>206.98615384615383</v>
      </c>
      <c r="R11" s="61">
        <v>149.7446153846154</v>
      </c>
      <c r="S11" s="36">
        <v>233.56642857142859</v>
      </c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1281">
        <f t="shared" si="0"/>
        <v>338.48807045895279</v>
      </c>
      <c r="AG11" s="113">
        <f t="shared" si="1"/>
        <v>356</v>
      </c>
      <c r="AJ11" s="251"/>
    </row>
    <row r="12" spans="1:36">
      <c r="A12" s="2238"/>
      <c r="B12" s="83" t="s">
        <v>234</v>
      </c>
      <c r="C12" s="79">
        <v>341</v>
      </c>
      <c r="D12" s="79">
        <v>228</v>
      </c>
      <c r="E12" s="79">
        <v>333</v>
      </c>
      <c r="F12" s="79">
        <v>308</v>
      </c>
      <c r="G12" s="79">
        <v>503</v>
      </c>
      <c r="H12" s="79">
        <v>561</v>
      </c>
      <c r="I12" s="79">
        <v>341</v>
      </c>
      <c r="J12" s="79">
        <v>342</v>
      </c>
      <c r="K12" s="79">
        <v>231</v>
      </c>
      <c r="L12" s="79">
        <v>483</v>
      </c>
      <c r="M12" s="79">
        <v>390</v>
      </c>
      <c r="N12" s="79">
        <v>268</v>
      </c>
      <c r="O12" s="79">
        <v>259</v>
      </c>
      <c r="P12" s="79">
        <v>224</v>
      </c>
      <c r="Q12" s="61">
        <v>220.75615384615381</v>
      </c>
      <c r="R12" s="61">
        <v>151.27000000000001</v>
      </c>
      <c r="S12" s="36">
        <v>232.79071428571427</v>
      </c>
      <c r="T12" s="36">
        <v>230</v>
      </c>
      <c r="U12" s="36">
        <v>244</v>
      </c>
      <c r="V12" s="36">
        <v>222</v>
      </c>
      <c r="W12" s="36">
        <v>186</v>
      </c>
      <c r="X12" s="36">
        <v>102</v>
      </c>
      <c r="Y12" s="36">
        <v>144</v>
      </c>
      <c r="Z12" s="36">
        <v>274</v>
      </c>
      <c r="AA12" s="36">
        <v>352</v>
      </c>
      <c r="AB12" s="36"/>
      <c r="AC12" s="36"/>
      <c r="AD12" s="36"/>
      <c r="AE12" s="36"/>
      <c r="AF12" s="1281">
        <f t="shared" si="0"/>
        <v>286.83267472527473</v>
      </c>
      <c r="AG12" s="113">
        <f t="shared" si="1"/>
        <v>259</v>
      </c>
      <c r="AJ12" s="252"/>
    </row>
    <row r="13" spans="1:36">
      <c r="A13" s="2239"/>
      <c r="B13" s="28" t="s">
        <v>99</v>
      </c>
      <c r="C13" s="85">
        <f t="shared" ref="C13:J13" si="6">AVERAGE(C10:C12)</f>
        <v>388</v>
      </c>
      <c r="D13" s="85">
        <f t="shared" si="6"/>
        <v>266.33333333333331</v>
      </c>
      <c r="E13" s="85">
        <f t="shared" si="6"/>
        <v>429.33333333333331</v>
      </c>
      <c r="F13" s="85">
        <f t="shared" si="6"/>
        <v>348.66666666666669</v>
      </c>
      <c r="G13" s="85">
        <f t="shared" si="6"/>
        <v>493</v>
      </c>
      <c r="H13" s="85">
        <f t="shared" si="6"/>
        <v>576</v>
      </c>
      <c r="I13" s="85">
        <f t="shared" si="6"/>
        <v>366.33333333333331</v>
      </c>
      <c r="J13" s="85">
        <f t="shared" si="6"/>
        <v>367.33333333333331</v>
      </c>
      <c r="K13" s="85">
        <f>AVERAGE(K10:K12)</f>
        <v>225</v>
      </c>
      <c r="L13" s="86">
        <v>441</v>
      </c>
      <c r="M13" s="86">
        <v>387</v>
      </c>
      <c r="N13" s="85">
        <f t="shared" ref="N13:AA13" si="7">AVERAGE(N10:N12)</f>
        <v>281.66666666666669</v>
      </c>
      <c r="O13" s="85">
        <f t="shared" si="7"/>
        <v>266</v>
      </c>
      <c r="P13" s="85">
        <f t="shared" si="7"/>
        <v>247</v>
      </c>
      <c r="Q13" s="85">
        <f t="shared" si="7"/>
        <v>206.99333333333331</v>
      </c>
      <c r="R13" s="85">
        <f t="shared" si="7"/>
        <v>153.09772893772893</v>
      </c>
      <c r="S13" s="85">
        <f t="shared" si="7"/>
        <v>229.4397142857143</v>
      </c>
      <c r="T13" s="85">
        <f t="shared" si="7"/>
        <v>231.5</v>
      </c>
      <c r="U13" s="85">
        <f t="shared" si="7"/>
        <v>267.5</v>
      </c>
      <c r="V13" s="85">
        <f t="shared" si="7"/>
        <v>254.5</v>
      </c>
      <c r="W13" s="85">
        <f t="shared" si="7"/>
        <v>172</v>
      </c>
      <c r="X13" s="85">
        <f t="shared" si="7"/>
        <v>133.5</v>
      </c>
      <c r="Y13" s="85">
        <f t="shared" si="7"/>
        <v>152.5</v>
      </c>
      <c r="Z13" s="85">
        <f t="shared" si="7"/>
        <v>290.5</v>
      </c>
      <c r="AA13" s="85">
        <f t="shared" si="7"/>
        <v>364.5</v>
      </c>
      <c r="AB13" s="85"/>
      <c r="AC13" s="85"/>
      <c r="AD13" s="85"/>
      <c r="AE13" s="85"/>
      <c r="AF13" s="1281">
        <f t="shared" si="0"/>
        <v>301.5478977289377</v>
      </c>
      <c r="AG13" s="113">
        <f t="shared" si="1"/>
        <v>267.5</v>
      </c>
      <c r="AJ13" s="157"/>
    </row>
    <row r="14" spans="1:36" ht="13.75" customHeight="1">
      <c r="A14" s="2237" t="s">
        <v>12</v>
      </c>
      <c r="B14" s="83" t="s">
        <v>100</v>
      </c>
      <c r="C14" s="82">
        <v>144</v>
      </c>
      <c r="D14" s="82">
        <v>146</v>
      </c>
      <c r="E14" s="82">
        <v>175</v>
      </c>
      <c r="F14" s="82">
        <v>83</v>
      </c>
      <c r="G14" s="82">
        <v>34</v>
      </c>
      <c r="H14" s="82">
        <v>29</v>
      </c>
      <c r="I14" s="82">
        <v>38</v>
      </c>
      <c r="J14" s="82">
        <v>33</v>
      </c>
      <c r="K14" s="82">
        <v>34</v>
      </c>
      <c r="L14" s="82">
        <v>59</v>
      </c>
      <c r="M14" s="82">
        <v>42</v>
      </c>
      <c r="N14" s="82">
        <v>46</v>
      </c>
      <c r="O14" s="82">
        <v>79</v>
      </c>
      <c r="P14" s="82">
        <v>24</v>
      </c>
      <c r="Q14" s="61">
        <v>33.021419788316948</v>
      </c>
      <c r="R14" s="87">
        <f>AVERAGE(A14:Q14)</f>
        <v>66.601427985887796</v>
      </c>
      <c r="S14" s="35">
        <v>29.742840573556929</v>
      </c>
      <c r="T14" s="35">
        <v>39.799999999999997</v>
      </c>
      <c r="U14" s="35">
        <v>34.200000000000003</v>
      </c>
      <c r="V14" s="35">
        <v>28.3</v>
      </c>
      <c r="W14" s="35">
        <v>33.700000000000003</v>
      </c>
      <c r="X14" s="35">
        <v>53.4</v>
      </c>
      <c r="Y14" s="35">
        <v>71.400000000000006</v>
      </c>
      <c r="Z14" s="35">
        <v>25</v>
      </c>
      <c r="AA14" s="35">
        <v>112</v>
      </c>
      <c r="AB14" s="35">
        <v>38.700000000000003</v>
      </c>
      <c r="AC14" s="35">
        <v>33</v>
      </c>
      <c r="AD14" s="35">
        <v>41.4</v>
      </c>
      <c r="AE14" s="35">
        <v>38.700000000000003</v>
      </c>
      <c r="AF14" s="1281">
        <f>AVERAGE(C14:AE14)</f>
        <v>56.722954770612489</v>
      </c>
      <c r="AG14" s="113">
        <f t="shared" si="1"/>
        <v>38.700000000000003</v>
      </c>
      <c r="AJ14" s="251"/>
    </row>
    <row r="15" spans="1:36" ht="13.75" hidden="1" customHeight="1">
      <c r="A15" s="2238"/>
      <c r="B15" s="83" t="s">
        <v>101</v>
      </c>
      <c r="C15" s="82">
        <v>138</v>
      </c>
      <c r="D15" s="82">
        <v>140</v>
      </c>
      <c r="E15" s="82">
        <v>164</v>
      </c>
      <c r="F15" s="82">
        <v>79</v>
      </c>
      <c r="G15" s="82">
        <v>37</v>
      </c>
      <c r="H15" s="82">
        <v>33</v>
      </c>
      <c r="I15" s="82">
        <v>45</v>
      </c>
      <c r="J15" s="82">
        <v>40</v>
      </c>
      <c r="K15" s="82">
        <v>37</v>
      </c>
      <c r="L15" s="82">
        <v>57</v>
      </c>
      <c r="M15" s="82">
        <v>42</v>
      </c>
      <c r="N15" s="82">
        <v>49</v>
      </c>
      <c r="O15" s="82">
        <v>63</v>
      </c>
      <c r="P15" s="82">
        <v>27</v>
      </c>
      <c r="Q15" s="61">
        <v>34.148239344480501</v>
      </c>
      <c r="R15" s="87">
        <f>AVERAGE(A15:Q15)</f>
        <v>65.676549289632035</v>
      </c>
      <c r="S15" s="35">
        <v>31.47923603241675</v>
      </c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1281">
        <f t="shared" si="0"/>
        <v>63.664942627442905</v>
      </c>
      <c r="AG15" s="113">
        <f t="shared" si="1"/>
        <v>45</v>
      </c>
      <c r="AJ15" s="51"/>
    </row>
    <row r="16" spans="1:36">
      <c r="A16" s="2238"/>
      <c r="B16" s="83" t="s">
        <v>234</v>
      </c>
      <c r="C16" s="82">
        <v>270</v>
      </c>
      <c r="D16" s="82">
        <v>201</v>
      </c>
      <c r="E16" s="82">
        <v>240</v>
      </c>
      <c r="F16" s="82">
        <v>99</v>
      </c>
      <c r="G16" s="82">
        <v>52</v>
      </c>
      <c r="H16" s="82">
        <v>66</v>
      </c>
      <c r="I16" s="82">
        <v>86</v>
      </c>
      <c r="J16" s="82">
        <v>69</v>
      </c>
      <c r="K16" s="82">
        <v>54</v>
      </c>
      <c r="L16" s="82">
        <v>56</v>
      </c>
      <c r="M16" s="82">
        <v>64</v>
      </c>
      <c r="N16" s="82">
        <v>56</v>
      </c>
      <c r="O16" s="82">
        <v>56</v>
      </c>
      <c r="P16" s="82">
        <v>44</v>
      </c>
      <c r="Q16" s="61">
        <v>47.091899981300472</v>
      </c>
      <c r="R16" s="87">
        <f>AVERAGE(A16:Q16)</f>
        <v>97.33945999875337</v>
      </c>
      <c r="S16" s="35">
        <v>30.821478699787626</v>
      </c>
      <c r="T16" s="35">
        <v>62.2</v>
      </c>
      <c r="U16" s="35">
        <v>35.299999999999997</v>
      </c>
      <c r="V16" s="35">
        <v>38.9</v>
      </c>
      <c r="W16" s="35">
        <v>47.9</v>
      </c>
      <c r="X16" s="35">
        <v>69.8</v>
      </c>
      <c r="Y16" s="35">
        <v>59.8</v>
      </c>
      <c r="Z16" s="35">
        <v>36</v>
      </c>
      <c r="AA16" s="35">
        <v>191</v>
      </c>
      <c r="AB16" s="35">
        <v>92.8</v>
      </c>
      <c r="AC16" s="35">
        <v>57</v>
      </c>
      <c r="AD16" s="35">
        <v>47.9</v>
      </c>
      <c r="AE16" s="35">
        <v>91.5</v>
      </c>
      <c r="AF16" s="1281">
        <f>AVERAGE(C16:AE16)</f>
        <v>83.391477195856623</v>
      </c>
      <c r="AG16" s="113">
        <f t="shared" si="1"/>
        <v>59.8</v>
      </c>
      <c r="AJ16" s="51"/>
    </row>
    <row r="17" spans="1:33">
      <c r="A17" s="2239"/>
      <c r="B17" s="28" t="s">
        <v>99</v>
      </c>
      <c r="C17" s="85">
        <f t="shared" ref="C17:J17" si="8">AVERAGE(C14:C16)</f>
        <v>184</v>
      </c>
      <c r="D17" s="85">
        <f t="shared" si="8"/>
        <v>162.33333333333334</v>
      </c>
      <c r="E17" s="85">
        <f t="shared" si="8"/>
        <v>193</v>
      </c>
      <c r="F17" s="85">
        <f t="shared" si="8"/>
        <v>87</v>
      </c>
      <c r="G17" s="85">
        <f t="shared" si="8"/>
        <v>41</v>
      </c>
      <c r="H17" s="85">
        <f t="shared" si="8"/>
        <v>42.666666666666664</v>
      </c>
      <c r="I17" s="85">
        <f t="shared" si="8"/>
        <v>56.333333333333336</v>
      </c>
      <c r="J17" s="85">
        <f t="shared" si="8"/>
        <v>47.333333333333336</v>
      </c>
      <c r="K17" s="85">
        <f>AVERAGE(K14:K16)</f>
        <v>41.666666666666664</v>
      </c>
      <c r="L17" s="86">
        <v>60</v>
      </c>
      <c r="M17" s="86">
        <v>50</v>
      </c>
      <c r="N17" s="85">
        <f t="shared" ref="N17:AE17" si="9">AVERAGE(N14:N16)</f>
        <v>50.333333333333336</v>
      </c>
      <c r="O17" s="85">
        <f t="shared" si="9"/>
        <v>66</v>
      </c>
      <c r="P17" s="85">
        <f t="shared" si="9"/>
        <v>31.666666666666668</v>
      </c>
      <c r="Q17" s="85">
        <f t="shared" si="9"/>
        <v>38.087186371365974</v>
      </c>
      <c r="R17" s="85">
        <f t="shared" si="9"/>
        <v>76.539145758091067</v>
      </c>
      <c r="S17" s="85">
        <f t="shared" si="9"/>
        <v>30.681185101920438</v>
      </c>
      <c r="T17" s="85">
        <f t="shared" si="9"/>
        <v>51</v>
      </c>
      <c r="U17" s="85">
        <f t="shared" si="9"/>
        <v>34.75</v>
      </c>
      <c r="V17" s="85">
        <f t="shared" si="9"/>
        <v>33.6</v>
      </c>
      <c r="W17" s="85">
        <f t="shared" si="9"/>
        <v>40.799999999999997</v>
      </c>
      <c r="X17" s="85">
        <f t="shared" si="9"/>
        <v>61.599999999999994</v>
      </c>
      <c r="Y17" s="85">
        <f t="shared" si="9"/>
        <v>65.599999999999994</v>
      </c>
      <c r="Z17" s="85">
        <f t="shared" si="9"/>
        <v>30.5</v>
      </c>
      <c r="AA17" s="85">
        <f t="shared" si="9"/>
        <v>151.5</v>
      </c>
      <c r="AB17" s="85">
        <f t="shared" si="9"/>
        <v>65.75</v>
      </c>
      <c r="AC17" s="85">
        <f t="shared" si="9"/>
        <v>45</v>
      </c>
      <c r="AD17" s="85">
        <f t="shared" si="9"/>
        <v>44.65</v>
      </c>
      <c r="AE17" s="85">
        <f t="shared" si="9"/>
        <v>65.099999999999994</v>
      </c>
      <c r="AF17" s="1281">
        <f t="shared" si="0"/>
        <v>68.101512983878166</v>
      </c>
      <c r="AG17" s="113">
        <f t="shared" si="1"/>
        <v>50.333333333333336</v>
      </c>
    </row>
    <row r="18" spans="1:33">
      <c r="A18" s="2237" t="s">
        <v>13</v>
      </c>
      <c r="B18" s="83" t="s">
        <v>100</v>
      </c>
      <c r="C18" s="82">
        <v>6</v>
      </c>
      <c r="D18" s="82">
        <v>7</v>
      </c>
      <c r="E18" s="82">
        <v>4</v>
      </c>
      <c r="F18" s="82">
        <v>9</v>
      </c>
      <c r="G18" s="82">
        <v>6</v>
      </c>
      <c r="H18" s="82">
        <v>4</v>
      </c>
      <c r="I18" s="82">
        <v>12</v>
      </c>
      <c r="J18" s="82">
        <v>6</v>
      </c>
      <c r="K18" s="82">
        <v>7</v>
      </c>
      <c r="L18" s="82">
        <v>6</v>
      </c>
      <c r="M18" s="82">
        <v>7</v>
      </c>
      <c r="N18" s="82">
        <v>5</v>
      </c>
      <c r="O18" s="82">
        <v>7</v>
      </c>
      <c r="P18" s="82">
        <v>3</v>
      </c>
      <c r="Q18" s="29">
        <v>5.4026666666666667</v>
      </c>
      <c r="R18" s="88">
        <f>AVERAGE(A18:Q18)</f>
        <v>6.2935111111111111</v>
      </c>
      <c r="S18" s="35">
        <v>5.7373968253968224</v>
      </c>
      <c r="T18" s="35">
        <v>11.2</v>
      </c>
      <c r="U18" s="35">
        <v>6.9</v>
      </c>
      <c r="V18" s="35">
        <v>7.3</v>
      </c>
      <c r="W18" s="35">
        <v>6.2</v>
      </c>
      <c r="X18" s="35">
        <v>6.4</v>
      </c>
      <c r="Y18" s="35">
        <v>7.1</v>
      </c>
      <c r="Z18" s="35">
        <v>5</v>
      </c>
      <c r="AA18" s="35">
        <v>8</v>
      </c>
      <c r="AB18" s="35"/>
      <c r="AC18" s="35"/>
      <c r="AD18" s="35"/>
      <c r="AE18" s="35"/>
      <c r="AF18" s="1281">
        <f t="shared" si="0"/>
        <v>6.5813429841269837</v>
      </c>
      <c r="AG18" s="113">
        <f t="shared" si="1"/>
        <v>6.2935111111111111</v>
      </c>
    </row>
    <row r="19" spans="1:33" hidden="1">
      <c r="A19" s="2238"/>
      <c r="B19" s="83" t="s">
        <v>101</v>
      </c>
      <c r="C19" s="82">
        <v>8</v>
      </c>
      <c r="D19" s="82">
        <v>6</v>
      </c>
      <c r="E19" s="82">
        <v>6</v>
      </c>
      <c r="F19" s="82">
        <v>8</v>
      </c>
      <c r="G19" s="82">
        <v>7</v>
      </c>
      <c r="H19" s="82">
        <v>4</v>
      </c>
      <c r="I19" s="82">
        <v>15</v>
      </c>
      <c r="J19" s="82">
        <v>8</v>
      </c>
      <c r="K19" s="82">
        <v>9</v>
      </c>
      <c r="L19" s="82">
        <v>5</v>
      </c>
      <c r="M19" s="82">
        <v>7</v>
      </c>
      <c r="N19" s="82">
        <v>5</v>
      </c>
      <c r="O19" s="82">
        <v>6</v>
      </c>
      <c r="P19" s="82">
        <v>5</v>
      </c>
      <c r="Q19" s="29">
        <v>6.2253333333333343</v>
      </c>
      <c r="R19" s="88">
        <f>AVERAGE(A19:Q19)</f>
        <v>7.0150222222222229</v>
      </c>
      <c r="S19" s="35">
        <v>5.7020506912442395</v>
      </c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1281">
        <f t="shared" si="0"/>
        <v>6.9377886027529296</v>
      </c>
      <c r="AG19" s="113">
        <f t="shared" si="1"/>
        <v>6.2253333333333343</v>
      </c>
    </row>
    <row r="20" spans="1:33">
      <c r="A20" s="2238"/>
      <c r="B20" s="83" t="s">
        <v>234</v>
      </c>
      <c r="C20" s="82">
        <v>19</v>
      </c>
      <c r="D20" s="82">
        <v>8</v>
      </c>
      <c r="E20" s="82">
        <v>5</v>
      </c>
      <c r="F20" s="82">
        <v>9</v>
      </c>
      <c r="G20" s="82">
        <v>13</v>
      </c>
      <c r="H20" s="82">
        <v>7</v>
      </c>
      <c r="I20" s="82">
        <v>22</v>
      </c>
      <c r="J20" s="82">
        <v>12</v>
      </c>
      <c r="K20" s="82">
        <v>12</v>
      </c>
      <c r="L20" s="82">
        <v>8</v>
      </c>
      <c r="M20" s="82">
        <v>10</v>
      </c>
      <c r="N20" s="82">
        <v>5</v>
      </c>
      <c r="O20" s="82">
        <v>8</v>
      </c>
      <c r="P20" s="82">
        <v>9</v>
      </c>
      <c r="Q20" s="29">
        <v>7.4459215686274529</v>
      </c>
      <c r="R20" s="88">
        <f>AVERAGE(A20:Q20)</f>
        <v>10.296394771241831</v>
      </c>
      <c r="S20" s="35">
        <v>6.033309794757165</v>
      </c>
      <c r="T20" s="35">
        <v>20.9</v>
      </c>
      <c r="U20" s="35">
        <v>10</v>
      </c>
      <c r="V20" s="35">
        <v>8.9</v>
      </c>
      <c r="W20" s="35">
        <v>10.5</v>
      </c>
      <c r="X20" s="35">
        <v>13.4</v>
      </c>
      <c r="Y20" s="35">
        <v>10.7</v>
      </c>
      <c r="Z20" s="35">
        <v>10</v>
      </c>
      <c r="AA20" s="35">
        <v>17</v>
      </c>
      <c r="AB20" s="35"/>
      <c r="AC20" s="35"/>
      <c r="AD20" s="35"/>
      <c r="AE20" s="35"/>
      <c r="AF20" s="1281">
        <f t="shared" si="0"/>
        <v>10.887025045385057</v>
      </c>
      <c r="AG20" s="113">
        <f t="shared" si="1"/>
        <v>10</v>
      </c>
    </row>
    <row r="21" spans="1:33">
      <c r="A21" s="2239"/>
      <c r="B21" s="28" t="s">
        <v>99</v>
      </c>
      <c r="C21" s="85">
        <f t="shared" ref="C21:J21" si="10">AVERAGE(C18:C20)</f>
        <v>11</v>
      </c>
      <c r="D21" s="85">
        <f t="shared" si="10"/>
        <v>7</v>
      </c>
      <c r="E21" s="85">
        <f t="shared" si="10"/>
        <v>5</v>
      </c>
      <c r="F21" s="85">
        <f t="shared" si="10"/>
        <v>8.6666666666666661</v>
      </c>
      <c r="G21" s="85">
        <f t="shared" si="10"/>
        <v>8.6666666666666661</v>
      </c>
      <c r="H21" s="85">
        <f t="shared" si="10"/>
        <v>5</v>
      </c>
      <c r="I21" s="85">
        <f t="shared" si="10"/>
        <v>16.333333333333332</v>
      </c>
      <c r="J21" s="85">
        <f t="shared" si="10"/>
        <v>8.6666666666666661</v>
      </c>
      <c r="K21" s="85">
        <f>AVERAGE(K18:K20)</f>
        <v>9.3333333333333339</v>
      </c>
      <c r="L21" s="86">
        <v>6.4</v>
      </c>
      <c r="M21" s="86">
        <v>8</v>
      </c>
      <c r="N21" s="86">
        <f t="shared" ref="N21:AA21" si="11">AVERAGE(N18:N20)</f>
        <v>5</v>
      </c>
      <c r="O21" s="86">
        <f t="shared" si="11"/>
        <v>7</v>
      </c>
      <c r="P21" s="85">
        <f t="shared" si="11"/>
        <v>5.666666666666667</v>
      </c>
      <c r="Q21" s="85">
        <f t="shared" si="11"/>
        <v>6.3579738562091519</v>
      </c>
      <c r="R21" s="85">
        <f t="shared" si="11"/>
        <v>7.8683093681917216</v>
      </c>
      <c r="S21" s="85">
        <f t="shared" si="11"/>
        <v>5.824252437132742</v>
      </c>
      <c r="T21" s="85">
        <f t="shared" si="11"/>
        <v>16.049999999999997</v>
      </c>
      <c r="U21" s="85">
        <f t="shared" si="11"/>
        <v>8.4499999999999993</v>
      </c>
      <c r="V21" s="85">
        <f t="shared" si="11"/>
        <v>8.1</v>
      </c>
      <c r="W21" s="85">
        <f t="shared" si="11"/>
        <v>8.35</v>
      </c>
      <c r="X21" s="85">
        <f t="shared" si="11"/>
        <v>9.9</v>
      </c>
      <c r="Y21" s="85">
        <f t="shared" si="11"/>
        <v>8.8999999999999986</v>
      </c>
      <c r="Z21" s="85">
        <f t="shared" si="11"/>
        <v>7.5</v>
      </c>
      <c r="AA21" s="85">
        <f t="shared" si="11"/>
        <v>12.5</v>
      </c>
      <c r="AB21" s="85"/>
      <c r="AC21" s="85"/>
      <c r="AD21" s="85"/>
      <c r="AE21" s="85"/>
      <c r="AF21" s="1281">
        <f t="shared" si="0"/>
        <v>8.4613547597946788</v>
      </c>
      <c r="AG21" s="113">
        <f t="shared" si="1"/>
        <v>8.1</v>
      </c>
    </row>
    <row r="22" spans="1:33" ht="15">
      <c r="A22" s="9" t="s">
        <v>14</v>
      </c>
      <c r="B22" s="83" t="s">
        <v>100</v>
      </c>
      <c r="C22" s="82">
        <v>2.17</v>
      </c>
      <c r="D22" s="82">
        <v>2.1</v>
      </c>
      <c r="E22" s="82">
        <v>2.84</v>
      </c>
      <c r="F22" s="82">
        <v>1.79</v>
      </c>
      <c r="G22" s="82">
        <v>2.14</v>
      </c>
      <c r="H22" s="82">
        <v>2.5099999999999998</v>
      </c>
      <c r="I22" s="82">
        <v>1.7</v>
      </c>
      <c r="J22" s="82">
        <v>1.8</v>
      </c>
      <c r="K22" s="82">
        <v>1.8</v>
      </c>
      <c r="L22" s="82">
        <v>2.4</v>
      </c>
      <c r="M22" s="82">
        <v>2.2999999999999998</v>
      </c>
      <c r="N22" s="82">
        <v>3</v>
      </c>
      <c r="O22" s="82">
        <v>1.7</v>
      </c>
      <c r="P22" s="82">
        <v>2.6</v>
      </c>
      <c r="Q22" s="62">
        <v>2.0656249999999998</v>
      </c>
      <c r="R22" s="62">
        <v>2.4</v>
      </c>
      <c r="S22" s="62">
        <v>1.7</v>
      </c>
      <c r="T22" s="62">
        <v>2.4</v>
      </c>
      <c r="U22" s="62">
        <v>2.7</v>
      </c>
      <c r="V22" s="62">
        <v>1.7</v>
      </c>
      <c r="W22" s="62">
        <v>2.2000000000000002</v>
      </c>
      <c r="X22" s="62">
        <v>2.1800000000000002</v>
      </c>
      <c r="Y22" s="62">
        <v>1.86</v>
      </c>
      <c r="Z22" s="62">
        <v>1.98</v>
      </c>
      <c r="AA22" s="62">
        <v>1.17</v>
      </c>
      <c r="AB22" s="62">
        <v>1.22</v>
      </c>
      <c r="AC22" s="62">
        <v>2.17</v>
      </c>
      <c r="AD22" s="62">
        <v>1.54</v>
      </c>
      <c r="AE22" s="62">
        <v>1.4</v>
      </c>
      <c r="AF22" s="1281">
        <f>AVERAGE(C22:AE22)</f>
        <v>2.0529525862068967</v>
      </c>
      <c r="AG22" s="113">
        <f t="shared" si="1"/>
        <v>2.14</v>
      </c>
    </row>
    <row r="34" ht="13.75" customHeight="1"/>
    <row r="75" spans="1:5" ht="26">
      <c r="A75" s="149" t="s">
        <v>8</v>
      </c>
      <c r="B75" s="148"/>
      <c r="C75" s="179">
        <v>2013</v>
      </c>
      <c r="D75" s="8" t="s">
        <v>515</v>
      </c>
      <c r="E75" s="116" t="s">
        <v>516</v>
      </c>
    </row>
    <row r="76" spans="1:5" ht="29.25" customHeight="1">
      <c r="A76" s="147" t="s">
        <v>10</v>
      </c>
      <c r="B76" s="83" t="s">
        <v>100</v>
      </c>
      <c r="C76" s="61">
        <v>14.6</v>
      </c>
      <c r="D76" s="187">
        <v>14.466956521739133</v>
      </c>
      <c r="E76" s="61">
        <v>14.6</v>
      </c>
    </row>
    <row r="77" spans="1:5" ht="13.75" customHeight="1">
      <c r="A77" s="2234" t="s">
        <v>389</v>
      </c>
      <c r="B77" s="123" t="s">
        <v>100</v>
      </c>
      <c r="C77" s="61">
        <v>782</v>
      </c>
      <c r="D77" s="187">
        <v>636.5</v>
      </c>
      <c r="E77" s="61">
        <v>636.5</v>
      </c>
    </row>
    <row r="78" spans="1:5">
      <c r="A78" s="2235"/>
      <c r="B78" s="123" t="s">
        <v>234</v>
      </c>
      <c r="C78" s="61">
        <v>721</v>
      </c>
      <c r="D78" s="187">
        <v>618.5</v>
      </c>
      <c r="E78" s="61">
        <v>618.5</v>
      </c>
    </row>
    <row r="79" spans="1:5">
      <c r="A79" s="2236"/>
      <c r="B79" s="123" t="s">
        <v>99</v>
      </c>
      <c r="C79" s="61">
        <v>751.5</v>
      </c>
      <c r="D79" s="187">
        <v>627.5</v>
      </c>
      <c r="E79" s="61">
        <v>627.5</v>
      </c>
    </row>
    <row r="80" spans="1:5" ht="13.75" customHeight="1">
      <c r="A80" s="2237" t="s">
        <v>11</v>
      </c>
      <c r="B80" s="83" t="s">
        <v>100</v>
      </c>
      <c r="C80" s="87">
        <v>161</v>
      </c>
      <c r="D80" s="187">
        <v>313.02079407548973</v>
      </c>
      <c r="E80" s="61">
        <v>289</v>
      </c>
    </row>
    <row r="81" spans="1:12">
      <c r="A81" s="2238"/>
      <c r="B81" s="83" t="s">
        <v>234</v>
      </c>
      <c r="C81" s="87">
        <v>144</v>
      </c>
      <c r="D81" s="187">
        <v>284.55725513616818</v>
      </c>
      <c r="E81" s="61">
        <v>244</v>
      </c>
    </row>
    <row r="82" spans="1:12">
      <c r="A82" s="2239"/>
      <c r="B82" s="123" t="s">
        <v>99</v>
      </c>
      <c r="C82" s="61">
        <v>152.5</v>
      </c>
      <c r="D82" s="187">
        <v>299.29119318362797</v>
      </c>
      <c r="E82" s="61">
        <v>266.33333333333331</v>
      </c>
    </row>
    <row r="83" spans="1:12" ht="13.75" customHeight="1">
      <c r="A83" s="2237" t="s">
        <v>12</v>
      </c>
      <c r="B83" s="83" t="s">
        <v>100</v>
      </c>
      <c r="C83" s="87">
        <v>71.400000000000006</v>
      </c>
      <c r="D83" s="187">
        <v>58.963725580337474</v>
      </c>
      <c r="E83" s="61">
        <v>39.799999999999997</v>
      </c>
    </row>
    <row r="84" spans="1:12">
      <c r="A84" s="2238"/>
      <c r="B84" s="83" t="s">
        <v>234</v>
      </c>
      <c r="C84" s="87">
        <v>59.8</v>
      </c>
      <c r="D84" s="187">
        <v>82.702297333906159</v>
      </c>
      <c r="E84" s="61">
        <v>59.8</v>
      </c>
    </row>
    <row r="85" spans="1:12">
      <c r="A85" s="2239"/>
      <c r="B85" s="123" t="s">
        <v>99</v>
      </c>
      <c r="C85" s="61">
        <v>65.599999999999994</v>
      </c>
      <c r="D85" s="187">
        <v>67.216993502813509</v>
      </c>
      <c r="E85" s="61">
        <v>50.333333333333336</v>
      </c>
    </row>
    <row r="86" spans="1:12" ht="13.75" customHeight="1">
      <c r="A86" s="2237" t="s">
        <v>13</v>
      </c>
      <c r="B86" s="83" t="s">
        <v>100</v>
      </c>
      <c r="C86" s="87">
        <v>7.1</v>
      </c>
      <c r="D86" s="187">
        <v>6.5884162870945477</v>
      </c>
      <c r="E86" s="61">
        <v>6.2935111111111111</v>
      </c>
    </row>
    <row r="87" spans="1:12">
      <c r="A87" s="2238"/>
      <c r="B87" s="83" t="s">
        <v>234</v>
      </c>
      <c r="C87" s="87">
        <v>10.7</v>
      </c>
      <c r="D87" s="187">
        <v>10.659809831940281</v>
      </c>
      <c r="E87" s="61">
        <v>10</v>
      </c>
    </row>
    <row r="88" spans="1:12">
      <c r="A88" s="2239"/>
      <c r="B88" s="123" t="s">
        <v>99</v>
      </c>
      <c r="C88" s="61">
        <v>8.8999999999999986</v>
      </c>
      <c r="D88" s="187">
        <v>8.3275595215159548</v>
      </c>
      <c r="E88" s="61">
        <v>8.1</v>
      </c>
    </row>
    <row r="89" spans="1:12">
      <c r="A89" s="9" t="s">
        <v>14</v>
      </c>
      <c r="B89" s="83" t="s">
        <v>100</v>
      </c>
      <c r="C89" s="61">
        <v>1.86</v>
      </c>
      <c r="D89" s="187">
        <v>2.1763315217391308</v>
      </c>
      <c r="E89" s="61">
        <v>2.17</v>
      </c>
    </row>
    <row r="90" spans="1:12">
      <c r="C90" s="184"/>
      <c r="D90" s="185"/>
      <c r="E90" s="186"/>
    </row>
    <row r="91" spans="1:12" ht="23">
      <c r="A91" s="299" t="s">
        <v>8</v>
      </c>
      <c r="B91" s="300"/>
      <c r="C91" s="298">
        <v>2014</v>
      </c>
      <c r="D91" s="299" t="s">
        <v>689</v>
      </c>
      <c r="E91" s="301" t="s">
        <v>690</v>
      </c>
      <c r="K91" s="297"/>
      <c r="L91" s="295"/>
    </row>
    <row r="92" spans="1:12">
      <c r="A92" s="147" t="s">
        <v>10</v>
      </c>
      <c r="B92" s="83" t="s">
        <v>100</v>
      </c>
      <c r="C92" s="31">
        <v>5</v>
      </c>
      <c r="D92" s="31">
        <v>14.072500000000003</v>
      </c>
      <c r="E92" s="31">
        <v>14.6</v>
      </c>
      <c r="K92" s="297"/>
      <c r="L92" s="295"/>
    </row>
    <row r="93" spans="1:12">
      <c r="A93" s="2234" t="s">
        <v>389</v>
      </c>
      <c r="B93" s="123" t="s">
        <v>100</v>
      </c>
      <c r="C93" s="31">
        <v>677</v>
      </c>
      <c r="D93" s="31">
        <v>636.5</v>
      </c>
      <c r="E93" s="31">
        <v>636.5</v>
      </c>
      <c r="K93" s="297"/>
      <c r="L93" s="294"/>
    </row>
    <row r="94" spans="1:12">
      <c r="A94" s="2235"/>
      <c r="B94" s="123" t="s">
        <v>234</v>
      </c>
      <c r="C94" s="31">
        <v>728</v>
      </c>
      <c r="D94" s="31">
        <v>618.5</v>
      </c>
      <c r="E94" s="31">
        <v>618.5</v>
      </c>
      <c r="K94" s="297"/>
      <c r="L94" s="294"/>
    </row>
    <row r="95" spans="1:12">
      <c r="A95" s="2236"/>
      <c r="B95" s="123" t="s">
        <v>99</v>
      </c>
      <c r="C95" s="31">
        <v>702.5</v>
      </c>
      <c r="D95" s="31">
        <v>627.5</v>
      </c>
      <c r="E95" s="31">
        <v>627.5</v>
      </c>
      <c r="K95" s="297"/>
      <c r="L95" s="294"/>
    </row>
    <row r="96" spans="1:12">
      <c r="A96" s="2237" t="s">
        <v>11</v>
      </c>
      <c r="B96" s="83" t="s">
        <v>100</v>
      </c>
      <c r="C96" s="31">
        <v>307</v>
      </c>
      <c r="D96" s="31">
        <v>312.76992765567769</v>
      </c>
      <c r="E96" s="31">
        <v>289</v>
      </c>
      <c r="K96" s="297"/>
      <c r="L96" s="294"/>
    </row>
    <row r="97" spans="1:12">
      <c r="A97" s="2238"/>
      <c r="B97" s="83" t="s">
        <v>234</v>
      </c>
      <c r="C97" s="31">
        <v>274</v>
      </c>
      <c r="D97" s="31">
        <v>284.11736950549454</v>
      </c>
      <c r="E97" s="31">
        <v>244</v>
      </c>
      <c r="K97" s="297"/>
      <c r="L97" s="295"/>
    </row>
    <row r="98" spans="1:12">
      <c r="A98" s="2239"/>
      <c r="B98" s="123" t="s">
        <v>99</v>
      </c>
      <c r="C98" s="31">
        <v>290.5</v>
      </c>
      <c r="D98" s="31">
        <v>299.29119318362797</v>
      </c>
      <c r="E98" s="31">
        <v>266.33333333333331</v>
      </c>
      <c r="K98" s="297"/>
      <c r="L98" s="295"/>
    </row>
    <row r="99" spans="1:12">
      <c r="A99" s="2237" t="s">
        <v>12</v>
      </c>
      <c r="B99" s="83" t="s">
        <v>100</v>
      </c>
      <c r="C99" s="31">
        <v>25</v>
      </c>
      <c r="D99" s="31">
        <v>57.548570347823414</v>
      </c>
      <c r="E99" s="31">
        <v>39.799999999999997</v>
      </c>
      <c r="K99" s="297"/>
      <c r="L99" s="295"/>
    </row>
    <row r="100" spans="1:12">
      <c r="A100" s="2238"/>
      <c r="B100" s="83" t="s">
        <v>234</v>
      </c>
      <c r="C100" s="31">
        <v>36</v>
      </c>
      <c r="D100" s="31">
        <v>80.756368278326732</v>
      </c>
      <c r="E100" s="31">
        <v>59.8</v>
      </c>
      <c r="K100" s="297"/>
      <c r="L100" s="294"/>
    </row>
    <row r="101" spans="1:12">
      <c r="A101" s="2239"/>
      <c r="B101" s="123" t="s">
        <v>99</v>
      </c>
      <c r="C101" s="31">
        <v>30.5</v>
      </c>
      <c r="D101" s="31">
        <v>67.216993502813509</v>
      </c>
      <c r="E101" s="31">
        <v>50.333333333333336</v>
      </c>
      <c r="K101" s="297"/>
      <c r="L101" s="295"/>
    </row>
    <row r="102" spans="1:12">
      <c r="A102" s="2237" t="s">
        <v>13</v>
      </c>
      <c r="B102" s="83" t="s">
        <v>100</v>
      </c>
      <c r="C102" s="31">
        <v>5</v>
      </c>
      <c r="D102" s="31">
        <v>6.522232275132275</v>
      </c>
      <c r="E102" s="31">
        <v>6.2935111111111111</v>
      </c>
      <c r="K102" s="297"/>
      <c r="L102" s="295"/>
    </row>
    <row r="103" spans="1:12">
      <c r="A103" s="2238"/>
      <c r="B103" s="83" t="s">
        <v>234</v>
      </c>
      <c r="C103" s="31">
        <v>10</v>
      </c>
      <c r="D103" s="31">
        <v>10.632317755609437</v>
      </c>
      <c r="E103" s="31">
        <v>10</v>
      </c>
      <c r="K103" s="297"/>
      <c r="L103" s="295"/>
    </row>
    <row r="104" spans="1:12">
      <c r="A104" s="2239"/>
      <c r="B104" s="123" t="s">
        <v>99</v>
      </c>
      <c r="C104" s="31">
        <v>7.5</v>
      </c>
      <c r="D104" s="31">
        <v>8.3275595215159548</v>
      </c>
      <c r="E104" s="31">
        <v>8.1</v>
      </c>
      <c r="K104" s="297"/>
      <c r="L104" s="294"/>
    </row>
    <row r="105" spans="1:12">
      <c r="A105" s="9" t="s">
        <v>14</v>
      </c>
      <c r="B105" s="83" t="s">
        <v>100</v>
      </c>
      <c r="C105" s="31">
        <v>2</v>
      </c>
      <c r="D105" s="236">
        <v>2.1763315217391308</v>
      </c>
      <c r="E105" s="236">
        <v>2.17</v>
      </c>
      <c r="K105" s="297"/>
      <c r="L105" s="295"/>
    </row>
    <row r="106" spans="1:12">
      <c r="K106" s="297"/>
      <c r="L106" s="295"/>
    </row>
    <row r="107" spans="1:12" ht="23">
      <c r="A107" s="447" t="s">
        <v>8</v>
      </c>
      <c r="B107" s="448"/>
      <c r="C107" s="449">
        <v>2015</v>
      </c>
      <c r="D107" s="450" t="s">
        <v>697</v>
      </c>
      <c r="E107" s="450" t="s">
        <v>698</v>
      </c>
      <c r="K107" s="297"/>
      <c r="L107" s="295"/>
    </row>
    <row r="108" spans="1:12" ht="18.649999999999999" customHeight="1">
      <c r="A108" s="147" t="s">
        <v>10</v>
      </c>
      <c r="B108" s="53" t="s">
        <v>100</v>
      </c>
      <c r="C108" s="236">
        <v>13.2</v>
      </c>
      <c r="D108" s="236">
        <v>14.037600000000003</v>
      </c>
      <c r="E108" s="236">
        <v>14.6</v>
      </c>
      <c r="K108" s="297"/>
      <c r="L108" s="294"/>
    </row>
    <row r="109" spans="1:12">
      <c r="A109" s="2234" t="s">
        <v>389</v>
      </c>
      <c r="B109" s="451" t="s">
        <v>100</v>
      </c>
      <c r="C109" s="31">
        <v>926</v>
      </c>
      <c r="D109" s="31">
        <v>636.5</v>
      </c>
      <c r="E109" s="31">
        <v>636.5</v>
      </c>
      <c r="K109" s="296"/>
      <c r="L109" s="295"/>
    </row>
    <row r="110" spans="1:12">
      <c r="A110" s="2235"/>
      <c r="B110" s="451" t="s">
        <v>234</v>
      </c>
      <c r="C110" s="31">
        <v>929</v>
      </c>
      <c r="D110" s="31">
        <v>618.5</v>
      </c>
      <c r="E110" s="31">
        <v>618.5</v>
      </c>
    </row>
    <row r="111" spans="1:12">
      <c r="A111" s="2236"/>
      <c r="B111" s="451" t="s">
        <v>99</v>
      </c>
      <c r="C111" s="31">
        <v>927.5</v>
      </c>
      <c r="D111" s="31">
        <v>627.5</v>
      </c>
      <c r="E111" s="31">
        <v>627.5</v>
      </c>
    </row>
    <row r="112" spans="1:12">
      <c r="A112" s="2237" t="s">
        <v>11</v>
      </c>
      <c r="B112" s="53" t="s">
        <v>100</v>
      </c>
      <c r="C112" s="31">
        <v>377</v>
      </c>
      <c r="D112" s="31">
        <v>315.33913054945054</v>
      </c>
      <c r="E112" s="31">
        <v>289</v>
      </c>
    </row>
    <row r="113" spans="1:5">
      <c r="A113" s="2238"/>
      <c r="B113" s="53" t="s">
        <v>234</v>
      </c>
      <c r="C113" s="31">
        <v>352</v>
      </c>
      <c r="D113" s="31">
        <v>286.83267472527473</v>
      </c>
      <c r="E113" s="31">
        <v>244</v>
      </c>
    </row>
    <row r="114" spans="1:5">
      <c r="A114" s="2239"/>
      <c r="B114" s="451" t="s">
        <v>99</v>
      </c>
      <c r="C114" s="31">
        <v>364.5</v>
      </c>
      <c r="D114" s="31">
        <v>299.29119318362797</v>
      </c>
      <c r="E114" s="31">
        <v>266.33333333333331</v>
      </c>
    </row>
    <row r="115" spans="1:5">
      <c r="A115" s="2237" t="s">
        <v>12</v>
      </c>
      <c r="B115" s="53" t="s">
        <v>100</v>
      </c>
      <c r="C115" s="31">
        <v>112</v>
      </c>
      <c r="D115" s="31">
        <v>59.726627533910481</v>
      </c>
      <c r="E115" s="31">
        <v>39.799999999999997</v>
      </c>
    </row>
    <row r="116" spans="1:5">
      <c r="A116" s="2238"/>
      <c r="B116" s="53" t="s">
        <v>234</v>
      </c>
      <c r="C116" s="31">
        <v>191</v>
      </c>
      <c r="D116" s="31">
        <v>85.166113547193675</v>
      </c>
      <c r="E116" s="31">
        <v>59.8</v>
      </c>
    </row>
    <row r="117" spans="1:5">
      <c r="A117" s="2239"/>
      <c r="B117" s="451" t="s">
        <v>99</v>
      </c>
      <c r="C117" s="31">
        <v>151.5</v>
      </c>
      <c r="D117" s="31">
        <v>67.216993502813509</v>
      </c>
      <c r="E117" s="31">
        <v>50.333333333333336</v>
      </c>
    </row>
    <row r="118" spans="1:5">
      <c r="A118" s="2237" t="s">
        <v>13</v>
      </c>
      <c r="B118" s="53" t="s">
        <v>100</v>
      </c>
      <c r="C118" s="31">
        <v>8</v>
      </c>
      <c r="D118" s="31">
        <v>6.5813429841269837</v>
      </c>
      <c r="E118" s="31">
        <v>6.2935111111111111</v>
      </c>
    </row>
    <row r="119" spans="1:5">
      <c r="A119" s="2238"/>
      <c r="B119" s="53" t="s">
        <v>234</v>
      </c>
      <c r="C119" s="31">
        <v>17</v>
      </c>
      <c r="D119" s="31">
        <v>10.887025045385057</v>
      </c>
      <c r="E119" s="31">
        <v>10</v>
      </c>
    </row>
    <row r="120" spans="1:5">
      <c r="A120" s="2239"/>
      <c r="B120" s="451" t="s">
        <v>99</v>
      </c>
      <c r="C120" s="31">
        <v>12.5</v>
      </c>
      <c r="D120" s="31">
        <v>8.3275595215159548</v>
      </c>
      <c r="E120" s="31">
        <v>8.1</v>
      </c>
    </row>
    <row r="121" spans="1:5">
      <c r="A121" s="9" t="s">
        <v>14</v>
      </c>
      <c r="B121" s="53" t="s">
        <v>100</v>
      </c>
      <c r="C121" s="236">
        <v>1.17</v>
      </c>
      <c r="D121" s="236">
        <v>2.128225</v>
      </c>
      <c r="E121" s="236">
        <v>2.17</v>
      </c>
    </row>
    <row r="123" spans="1:5" ht="23">
      <c r="A123" s="447" t="s">
        <v>8</v>
      </c>
      <c r="B123" s="448"/>
      <c r="C123" s="449">
        <v>2016</v>
      </c>
      <c r="D123" s="450" t="s">
        <v>908</v>
      </c>
      <c r="E123" s="450" t="s">
        <v>909</v>
      </c>
    </row>
    <row r="124" spans="1:5">
      <c r="A124" s="147" t="s">
        <v>10</v>
      </c>
      <c r="B124" s="53" t="s">
        <v>100</v>
      </c>
      <c r="C124" s="600">
        <v>10.1</v>
      </c>
      <c r="D124" s="600">
        <v>12.506639344262295</v>
      </c>
      <c r="E124" s="600">
        <v>13.465</v>
      </c>
    </row>
    <row r="125" spans="1:5">
      <c r="A125" s="2234" t="s">
        <v>389</v>
      </c>
      <c r="B125" s="451" t="s">
        <v>100</v>
      </c>
      <c r="C125" s="601">
        <v>759</v>
      </c>
      <c r="D125" s="601">
        <v>732.8</v>
      </c>
      <c r="E125" s="601">
        <v>759</v>
      </c>
    </row>
    <row r="126" spans="1:5">
      <c r="A126" s="2235"/>
      <c r="B126" s="451" t="s">
        <v>234</v>
      </c>
      <c r="C126" s="601">
        <v>799</v>
      </c>
      <c r="D126" s="601">
        <v>435.44223610675033</v>
      </c>
      <c r="E126" s="601">
        <v>728</v>
      </c>
    </row>
    <row r="127" spans="1:5">
      <c r="A127" s="2236"/>
      <c r="B127" s="451" t="s">
        <v>99</v>
      </c>
      <c r="C127" s="601">
        <v>779</v>
      </c>
      <c r="D127" s="601">
        <v>368.12288216039281</v>
      </c>
      <c r="E127" s="601">
        <v>751.5</v>
      </c>
    </row>
    <row r="128" spans="1:5">
      <c r="A128" s="2237" t="s">
        <v>12</v>
      </c>
      <c r="B128" s="53" t="s">
        <v>100</v>
      </c>
      <c r="C128" s="602">
        <v>38.700000000000003</v>
      </c>
      <c r="D128" s="440">
        <v>70.088732633248313</v>
      </c>
      <c r="E128" s="440">
        <v>39.25</v>
      </c>
    </row>
    <row r="129" spans="1:5">
      <c r="A129" s="2238"/>
      <c r="B129" s="53" t="s">
        <v>234</v>
      </c>
      <c r="C129" s="602">
        <v>92.8</v>
      </c>
      <c r="D129" s="440">
        <v>54.288665764256194</v>
      </c>
      <c r="E129" s="440">
        <v>61</v>
      </c>
    </row>
    <row r="130" spans="1:5">
      <c r="A130" s="2239"/>
      <c r="B130" s="451" t="s">
        <v>99</v>
      </c>
      <c r="C130" s="603">
        <v>65.75</v>
      </c>
      <c r="D130" s="440">
        <v>30.532600461980657</v>
      </c>
      <c r="E130" s="440">
        <v>50.666666666666671</v>
      </c>
    </row>
    <row r="131" spans="1:5">
      <c r="A131" s="9" t="s">
        <v>14</v>
      </c>
      <c r="B131" s="53" t="s">
        <v>100</v>
      </c>
      <c r="C131" s="440">
        <v>1.22</v>
      </c>
      <c r="D131" s="440">
        <v>2.0932932692307693</v>
      </c>
      <c r="E131" s="440">
        <v>2.17</v>
      </c>
    </row>
    <row r="133" spans="1:5" ht="23">
      <c r="A133" s="1057" t="s">
        <v>8</v>
      </c>
      <c r="B133" s="139"/>
      <c r="C133" s="1059">
        <v>2017</v>
      </c>
      <c r="D133" s="1057" t="s">
        <v>1235</v>
      </c>
      <c r="E133" s="1060" t="s">
        <v>1236</v>
      </c>
    </row>
    <row r="134" spans="1:5">
      <c r="A134" s="1058" t="s">
        <v>10</v>
      </c>
      <c r="B134" s="83" t="s">
        <v>100</v>
      </c>
      <c r="C134" s="82">
        <v>12.8</v>
      </c>
      <c r="D134" s="62">
        <v>13.845925925925929</v>
      </c>
      <c r="E134" s="62">
        <v>13.2</v>
      </c>
    </row>
    <row r="135" spans="1:5">
      <c r="A135" s="2232" t="s">
        <v>389</v>
      </c>
      <c r="B135" s="123" t="s">
        <v>100</v>
      </c>
      <c r="C135" s="62">
        <v>746</v>
      </c>
      <c r="D135" s="62">
        <v>730.16666666666663</v>
      </c>
      <c r="E135" s="62">
        <v>752.5</v>
      </c>
    </row>
    <row r="136" spans="1:5">
      <c r="A136" s="2232"/>
      <c r="B136" s="123" t="s">
        <v>234</v>
      </c>
      <c r="C136" s="62">
        <v>795</v>
      </c>
      <c r="D136" s="62">
        <v>748</v>
      </c>
      <c r="E136" s="62">
        <v>761.5</v>
      </c>
    </row>
    <row r="137" spans="1:5">
      <c r="A137" s="2232"/>
      <c r="B137" s="123" t="s">
        <v>99</v>
      </c>
      <c r="C137" s="62">
        <v>771</v>
      </c>
      <c r="D137" s="62">
        <v>739.16666666666663</v>
      </c>
      <c r="E137" s="62">
        <v>761.25</v>
      </c>
    </row>
    <row r="138" spans="1:5">
      <c r="A138" s="2233" t="s">
        <v>12</v>
      </c>
      <c r="B138" s="83" t="s">
        <v>100</v>
      </c>
      <c r="C138" s="88">
        <v>33</v>
      </c>
      <c r="D138" s="62">
        <v>57.957988457324518</v>
      </c>
      <c r="E138" s="62">
        <v>38.700000000000003</v>
      </c>
    </row>
    <row r="139" spans="1:5">
      <c r="A139" s="2233"/>
      <c r="B139" s="83" t="s">
        <v>234</v>
      </c>
      <c r="C139" s="88">
        <v>57</v>
      </c>
      <c r="D139" s="62">
        <v>84.405660691845995</v>
      </c>
      <c r="E139" s="62">
        <v>59.8</v>
      </c>
    </row>
    <row r="140" spans="1:5">
      <c r="A140" s="2233"/>
      <c r="B140" s="123" t="s">
        <v>99</v>
      </c>
      <c r="C140" s="61">
        <v>45</v>
      </c>
      <c r="D140" s="62">
        <v>68.101512983878166</v>
      </c>
      <c r="E140" s="62">
        <v>50.333333333333336</v>
      </c>
    </row>
    <row r="141" spans="1:5">
      <c r="A141" s="9" t="s">
        <v>14</v>
      </c>
      <c r="B141" s="83" t="s">
        <v>100</v>
      </c>
      <c r="C141" s="62">
        <v>2.17</v>
      </c>
      <c r="D141" s="62">
        <v>2.0961342592592596</v>
      </c>
      <c r="E141" s="62">
        <v>2.14</v>
      </c>
    </row>
    <row r="143" spans="1:5" ht="26">
      <c r="A143" s="1337" t="s">
        <v>8</v>
      </c>
      <c r="B143" s="1338"/>
      <c r="C143" s="1339">
        <v>2018</v>
      </c>
      <c r="D143" s="1340" t="s">
        <v>1693</v>
      </c>
      <c r="E143" s="1340" t="s">
        <v>1694</v>
      </c>
    </row>
    <row r="144" spans="1:5">
      <c r="A144" s="1277" t="s">
        <v>10</v>
      </c>
      <c r="B144" s="1278" t="s">
        <v>100</v>
      </c>
      <c r="C144" s="358">
        <v>16.399999999999999</v>
      </c>
      <c r="D144" s="358">
        <v>13.937142857142859</v>
      </c>
      <c r="E144" s="358">
        <v>13.2</v>
      </c>
    </row>
    <row r="145" spans="1:5">
      <c r="A145" s="2231" t="s">
        <v>389</v>
      </c>
      <c r="B145" s="1279" t="s">
        <v>100</v>
      </c>
      <c r="C145" s="358">
        <v>800</v>
      </c>
      <c r="D145" s="358">
        <v>740.14285714285711</v>
      </c>
      <c r="E145" s="358">
        <v>752.5</v>
      </c>
    </row>
    <row r="146" spans="1:5">
      <c r="A146" s="2231"/>
      <c r="B146" s="1279" t="s">
        <v>234</v>
      </c>
      <c r="C146" s="358">
        <v>820</v>
      </c>
      <c r="D146" s="358">
        <v>758.28571428571433</v>
      </c>
      <c r="E146" s="358">
        <v>761.5</v>
      </c>
    </row>
    <row r="147" spans="1:5">
      <c r="A147" s="2231"/>
      <c r="B147" s="1279" t="s">
        <v>99</v>
      </c>
      <c r="C147" s="358">
        <v>810</v>
      </c>
      <c r="D147" s="358">
        <v>739.16666666666663</v>
      </c>
      <c r="E147" s="358">
        <v>761.25</v>
      </c>
    </row>
    <row r="148" spans="1:5">
      <c r="A148" s="2231" t="s">
        <v>12</v>
      </c>
      <c r="B148" s="1278" t="s">
        <v>100</v>
      </c>
      <c r="C148" s="684">
        <v>41.4</v>
      </c>
      <c r="D148" s="1276">
        <v>57.366631726705791</v>
      </c>
      <c r="E148" s="1276">
        <v>38.700000000000003</v>
      </c>
    </row>
    <row r="149" spans="1:5">
      <c r="A149" s="2231"/>
      <c r="B149" s="1278" t="s">
        <v>234</v>
      </c>
      <c r="C149" s="684">
        <v>47.9</v>
      </c>
      <c r="D149" s="1276">
        <v>83.101887095708648</v>
      </c>
      <c r="E149" s="1276">
        <v>59.8</v>
      </c>
    </row>
    <row r="150" spans="1:5">
      <c r="A150" s="2231"/>
      <c r="B150" s="1279" t="s">
        <v>99</v>
      </c>
      <c r="C150" s="1276">
        <v>44.6</v>
      </c>
      <c r="D150" s="1276">
        <v>68.101512983878166</v>
      </c>
      <c r="E150" s="1276">
        <v>50.333333333333336</v>
      </c>
    </row>
    <row r="151" spans="1:5">
      <c r="A151" s="1278" t="s">
        <v>14</v>
      </c>
      <c r="B151" s="1278" t="s">
        <v>100</v>
      </c>
      <c r="C151" s="238">
        <v>1.54</v>
      </c>
      <c r="D151" s="238">
        <v>2.0762723214285717</v>
      </c>
      <c r="E151" s="238">
        <v>2.14</v>
      </c>
    </row>
    <row r="153" spans="1:5" ht="26">
      <c r="A153" s="1337" t="s">
        <v>8</v>
      </c>
      <c r="B153" s="1338"/>
      <c r="C153" s="1339">
        <v>2019</v>
      </c>
      <c r="D153" s="1340" t="s">
        <v>1540</v>
      </c>
      <c r="E153" s="1340" t="s">
        <v>1541</v>
      </c>
    </row>
    <row r="154" spans="1:5">
      <c r="A154" s="1392" t="s">
        <v>10</v>
      </c>
      <c r="B154" s="1278" t="s">
        <v>100</v>
      </c>
      <c r="C154" s="1396">
        <v>14.8</v>
      </c>
      <c r="D154" s="1396">
        <v>13.96689655172414</v>
      </c>
      <c r="E154" s="1396">
        <v>13.2</v>
      </c>
    </row>
    <row r="155" spans="1:5">
      <c r="A155" s="2231" t="s">
        <v>389</v>
      </c>
      <c r="B155" s="1279" t="s">
        <v>100</v>
      </c>
      <c r="C155" s="1396">
        <v>902</v>
      </c>
      <c r="D155" s="1396">
        <v>760.375</v>
      </c>
      <c r="E155" s="1396">
        <v>752.5</v>
      </c>
    </row>
    <row r="156" spans="1:5">
      <c r="A156" s="2231"/>
      <c r="B156" s="1279" t="s">
        <v>234</v>
      </c>
      <c r="C156" s="1396">
        <v>841</v>
      </c>
      <c r="D156" s="1396">
        <v>768.625</v>
      </c>
      <c r="E156" s="1396">
        <v>761.5</v>
      </c>
    </row>
    <row r="157" spans="1:5">
      <c r="A157" s="2231"/>
      <c r="B157" s="1279" t="s">
        <v>99</v>
      </c>
      <c r="C157" s="1396">
        <v>871.5</v>
      </c>
      <c r="D157" s="1396">
        <v>739.08333333333337</v>
      </c>
      <c r="E157" s="1396">
        <v>761</v>
      </c>
    </row>
    <row r="158" spans="1:5">
      <c r="A158" s="2231" t="s">
        <v>12</v>
      </c>
      <c r="B158" s="1278" t="s">
        <v>100</v>
      </c>
      <c r="C158" s="684">
        <v>38.700000000000003</v>
      </c>
      <c r="D158" s="1276">
        <v>56.722954770612489</v>
      </c>
      <c r="E158" s="1276">
        <v>38.700000000000003</v>
      </c>
    </row>
    <row r="159" spans="1:5">
      <c r="A159" s="2231"/>
      <c r="B159" s="1278" t="s">
        <v>234</v>
      </c>
      <c r="C159" s="684">
        <v>91.5</v>
      </c>
      <c r="D159" s="1276">
        <v>83.391477195856623</v>
      </c>
      <c r="E159" s="1276">
        <v>59.8</v>
      </c>
    </row>
    <row r="160" spans="1:5">
      <c r="A160" s="2231"/>
      <c r="B160" s="1279" t="s">
        <v>99</v>
      </c>
      <c r="C160" s="1276">
        <v>65.099999999999994</v>
      </c>
      <c r="D160" s="1276">
        <v>68.101512983878166</v>
      </c>
      <c r="E160" s="1276">
        <v>50.333333333333336</v>
      </c>
    </row>
    <row r="161" spans="1:5">
      <c r="A161" s="1278" t="s">
        <v>14</v>
      </c>
      <c r="B161" s="1278" t="s">
        <v>100</v>
      </c>
      <c r="C161" s="238">
        <v>1.4</v>
      </c>
      <c r="D161" s="238">
        <v>2.0529525862068967</v>
      </c>
      <c r="E161" s="238">
        <v>2.14</v>
      </c>
    </row>
  </sheetData>
  <mergeCells count="29">
    <mergeCell ref="A155:A157"/>
    <mergeCell ref="A158:A160"/>
    <mergeCell ref="A93:A95"/>
    <mergeCell ref="A10:A13"/>
    <mergeCell ref="A83:A85"/>
    <mergeCell ref="A86:A88"/>
    <mergeCell ref="A77:A79"/>
    <mergeCell ref="A80:A82"/>
    <mergeCell ref="A14:A17"/>
    <mergeCell ref="A18:A21"/>
    <mergeCell ref="A96:A98"/>
    <mergeCell ref="A99:A101"/>
    <mergeCell ref="A102:A104"/>
    <mergeCell ref="A125:A127"/>
    <mergeCell ref="A128:A130"/>
    <mergeCell ref="A145:A147"/>
    <mergeCell ref="A7:A9"/>
    <mergeCell ref="A1:AF1"/>
    <mergeCell ref="A2:A3"/>
    <mergeCell ref="B2:B3"/>
    <mergeCell ref="C2:AF2"/>
    <mergeCell ref="A4:A6"/>
    <mergeCell ref="A148:A150"/>
    <mergeCell ref="A135:A137"/>
    <mergeCell ref="A138:A140"/>
    <mergeCell ref="A109:A111"/>
    <mergeCell ref="A112:A114"/>
    <mergeCell ref="A115:A117"/>
    <mergeCell ref="A118:A120"/>
  </mergeCells>
  <phoneticPr fontId="11" type="noConversion"/>
  <pageMargins left="0.75" right="0.75" top="1" bottom="1" header="0.5" footer="0.5"/>
  <pageSetup orientation="landscape" horizontalDpi="4294967293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59999389629810485"/>
  </sheetPr>
  <dimension ref="A1:AE269"/>
  <sheetViews>
    <sheetView topLeftCell="A121" workbookViewId="0">
      <selection activeCell="E263" sqref="E263"/>
    </sheetView>
  </sheetViews>
  <sheetFormatPr defaultRowHeight="14"/>
  <cols>
    <col min="1" max="1" width="10.6328125" bestFit="1" customWidth="1"/>
    <col min="2" max="2" width="9" bestFit="1" customWidth="1"/>
    <col min="3" max="3" width="12" bestFit="1" customWidth="1"/>
    <col min="4" max="4" width="11.6328125" bestFit="1" customWidth="1"/>
    <col min="5" max="5" width="17.54296875" bestFit="1" customWidth="1"/>
    <col min="6" max="6" width="7.6328125" bestFit="1" customWidth="1"/>
    <col min="7" max="7" width="16.1796875" bestFit="1" customWidth="1"/>
    <col min="8" max="9" width="8" bestFit="1" customWidth="1"/>
    <col min="10" max="10" width="5.81640625" bestFit="1" customWidth="1"/>
    <col min="11" max="11" width="11.26953125" bestFit="1" customWidth="1"/>
    <col min="12" max="12" width="4.7265625" bestFit="1" customWidth="1"/>
    <col min="13" max="13" width="4.54296875" bestFit="1" customWidth="1"/>
    <col min="14" max="14" width="13.81640625" bestFit="1" customWidth="1"/>
    <col min="15" max="15" width="11.6328125" bestFit="1" customWidth="1"/>
    <col min="16" max="16" width="14.81640625" bestFit="1" customWidth="1"/>
    <col min="17" max="17" width="9.1796875" bestFit="1" customWidth="1"/>
    <col min="18" max="18" width="10" bestFit="1" customWidth="1"/>
    <col min="19" max="19" width="9.1796875" bestFit="1" customWidth="1"/>
    <col min="21" max="21" width="8.26953125" bestFit="1" customWidth="1"/>
    <col min="22" max="22" width="8.453125" bestFit="1" customWidth="1"/>
    <col min="23" max="24" width="8" bestFit="1" customWidth="1"/>
    <col min="25" max="27" width="8.81640625" bestFit="1" customWidth="1"/>
    <col min="28" max="28" width="8.54296875" bestFit="1" customWidth="1"/>
  </cols>
  <sheetData>
    <row r="1" spans="1:31">
      <c r="A1" s="1407" t="s">
        <v>712</v>
      </c>
      <c r="B1" s="1407" t="s">
        <v>713</v>
      </c>
      <c r="C1" s="1409" t="s">
        <v>714</v>
      </c>
      <c r="D1" s="1409" t="s">
        <v>715</v>
      </c>
      <c r="E1" s="1407" t="s">
        <v>716</v>
      </c>
      <c r="F1" s="1407" t="s">
        <v>717</v>
      </c>
      <c r="G1" s="1407" t="s">
        <v>910</v>
      </c>
      <c r="H1" s="1410" t="s">
        <v>718</v>
      </c>
      <c r="I1" s="1411" t="s">
        <v>718</v>
      </c>
      <c r="J1" s="1407" t="s">
        <v>911</v>
      </c>
      <c r="K1" s="1407" t="s">
        <v>912</v>
      </c>
      <c r="L1" s="1408" t="s">
        <v>913</v>
      </c>
      <c r="M1" s="1408" t="s">
        <v>478</v>
      </c>
      <c r="N1" s="1409" t="s">
        <v>914</v>
      </c>
    </row>
    <row r="2" spans="1:31">
      <c r="A2" s="1406" t="s">
        <v>1544</v>
      </c>
      <c r="B2" s="1417" t="s">
        <v>939</v>
      </c>
      <c r="C2" s="1416">
        <v>43472</v>
      </c>
      <c r="D2" s="1416">
        <v>43472</v>
      </c>
      <c r="E2" s="1423" t="s">
        <v>177</v>
      </c>
      <c r="F2" s="1412" t="s">
        <v>719</v>
      </c>
      <c r="G2" s="1418" t="s">
        <v>916</v>
      </c>
      <c r="H2" s="1414">
        <v>830</v>
      </c>
      <c r="I2" s="1419">
        <v>830</v>
      </c>
      <c r="J2" s="1412"/>
      <c r="K2" s="1424" t="s">
        <v>917</v>
      </c>
      <c r="L2" s="1415">
        <v>6</v>
      </c>
      <c r="M2" s="1415">
        <v>42</v>
      </c>
      <c r="N2" s="1413">
        <v>43475</v>
      </c>
      <c r="O2" s="1221"/>
      <c r="P2" s="1405"/>
      <c r="Q2" s="1405">
        <v>43472</v>
      </c>
      <c r="R2" s="1405">
        <v>43507</v>
      </c>
      <c r="S2" s="1405">
        <v>43545</v>
      </c>
      <c r="T2" s="1405">
        <v>43563</v>
      </c>
      <c r="U2" s="1405">
        <v>43591</v>
      </c>
      <c r="V2" s="1405">
        <v>43626</v>
      </c>
      <c r="W2" s="1405">
        <v>43654</v>
      </c>
      <c r="X2" s="1405">
        <v>43661</v>
      </c>
      <c r="Y2" s="1405">
        <v>43682</v>
      </c>
      <c r="Z2" s="1405">
        <v>43690</v>
      </c>
      <c r="AA2" s="1405">
        <v>43717</v>
      </c>
      <c r="AB2" s="1405">
        <v>43724</v>
      </c>
      <c r="AC2" s="1405">
        <v>43752</v>
      </c>
      <c r="AD2" s="1405">
        <v>43783</v>
      </c>
      <c r="AE2" s="1405">
        <v>43808</v>
      </c>
    </row>
    <row r="3" spans="1:31">
      <c r="A3" s="1406" t="s">
        <v>1544</v>
      </c>
      <c r="B3" s="1417" t="s">
        <v>939</v>
      </c>
      <c r="C3" s="1416">
        <v>43472</v>
      </c>
      <c r="D3" s="1416">
        <v>43472</v>
      </c>
      <c r="E3" s="1412" t="s">
        <v>159</v>
      </c>
      <c r="F3" s="1412" t="s">
        <v>719</v>
      </c>
      <c r="G3" s="1418" t="s">
        <v>918</v>
      </c>
      <c r="H3" s="1414">
        <v>2</v>
      </c>
      <c r="I3" s="1419">
        <v>2</v>
      </c>
      <c r="J3" s="1414" t="s">
        <v>926</v>
      </c>
      <c r="K3" s="1412" t="s">
        <v>917</v>
      </c>
      <c r="L3" s="1415">
        <v>2</v>
      </c>
      <c r="M3" s="1415">
        <v>8</v>
      </c>
      <c r="N3" s="1413">
        <v>43475</v>
      </c>
      <c r="O3" s="1676" t="s">
        <v>939</v>
      </c>
      <c r="P3" s="1668" t="s">
        <v>177</v>
      </c>
      <c r="Q3" s="1659">
        <v>830</v>
      </c>
      <c r="R3" s="227">
        <v>752</v>
      </c>
      <c r="S3" s="1659">
        <v>900</v>
      </c>
      <c r="T3" s="1659">
        <v>667</v>
      </c>
      <c r="U3" s="1659">
        <v>625</v>
      </c>
      <c r="V3" s="1659">
        <v>463</v>
      </c>
      <c r="W3" s="1659">
        <v>445</v>
      </c>
      <c r="X3" s="1659">
        <v>679</v>
      </c>
      <c r="Y3" s="1659">
        <v>664</v>
      </c>
      <c r="Z3" s="1696">
        <v>507</v>
      </c>
      <c r="AA3" s="1696">
        <v>864</v>
      </c>
      <c r="AB3" s="1696">
        <v>657</v>
      </c>
      <c r="AC3" s="1696">
        <v>725</v>
      </c>
      <c r="AD3" s="1696">
        <v>404</v>
      </c>
      <c r="AE3" s="1696">
        <v>808</v>
      </c>
    </row>
    <row r="4" spans="1:31">
      <c r="A4" s="1421" t="s">
        <v>1545</v>
      </c>
      <c r="B4" s="1417" t="s">
        <v>940</v>
      </c>
      <c r="C4" s="1416">
        <v>43472</v>
      </c>
      <c r="D4" s="1416">
        <v>43472</v>
      </c>
      <c r="E4" s="1423" t="s">
        <v>177</v>
      </c>
      <c r="F4" s="1412" t="s">
        <v>719</v>
      </c>
      <c r="G4" s="1418" t="s">
        <v>916</v>
      </c>
      <c r="H4" s="1414">
        <v>2028</v>
      </c>
      <c r="I4" s="1419">
        <v>2028</v>
      </c>
      <c r="J4" s="1412"/>
      <c r="K4" s="1424" t="s">
        <v>917</v>
      </c>
      <c r="L4" s="1415">
        <v>6</v>
      </c>
      <c r="M4" s="1415">
        <v>42</v>
      </c>
      <c r="N4" s="1413">
        <v>43475</v>
      </c>
      <c r="O4" s="1676" t="s">
        <v>939</v>
      </c>
      <c r="P4" s="1657" t="s">
        <v>159</v>
      </c>
      <c r="Q4" s="1659">
        <v>2</v>
      </c>
      <c r="R4" s="227">
        <v>6</v>
      </c>
      <c r="S4" s="1659">
        <v>21</v>
      </c>
      <c r="T4" s="1659">
        <v>96</v>
      </c>
      <c r="U4" s="1659">
        <v>7</v>
      </c>
      <c r="V4" s="1659">
        <v>28</v>
      </c>
      <c r="W4" s="1659">
        <v>22</v>
      </c>
      <c r="X4" s="1659">
        <v>15</v>
      </c>
      <c r="Y4" s="1659">
        <v>135</v>
      </c>
      <c r="Z4" s="1696">
        <v>41</v>
      </c>
      <c r="AA4" s="1696">
        <v>18</v>
      </c>
      <c r="AB4" s="1696">
        <v>6</v>
      </c>
      <c r="AC4" s="1696">
        <v>13</v>
      </c>
      <c r="AD4" s="1696">
        <v>6</v>
      </c>
      <c r="AE4" s="1696">
        <v>41</v>
      </c>
    </row>
    <row r="5" spans="1:31">
      <c r="A5" s="1406" t="s">
        <v>1545</v>
      </c>
      <c r="B5" s="1417" t="s">
        <v>940</v>
      </c>
      <c r="C5" s="1416">
        <v>43472</v>
      </c>
      <c r="D5" s="1416">
        <v>43472</v>
      </c>
      <c r="E5" s="1412" t="s">
        <v>159</v>
      </c>
      <c r="F5" s="1412" t="s">
        <v>719</v>
      </c>
      <c r="G5" s="1418" t="s">
        <v>918</v>
      </c>
      <c r="H5" s="1414">
        <v>19</v>
      </c>
      <c r="I5" s="1419">
        <v>19</v>
      </c>
      <c r="J5" s="1414"/>
      <c r="K5" s="1412" t="s">
        <v>917</v>
      </c>
      <c r="L5" s="1415">
        <v>2</v>
      </c>
      <c r="M5" s="1415">
        <v>8</v>
      </c>
      <c r="N5" s="1413">
        <v>43475</v>
      </c>
      <c r="O5" s="1676" t="s">
        <v>940</v>
      </c>
      <c r="P5" s="1668" t="s">
        <v>177</v>
      </c>
      <c r="Q5" s="1659">
        <v>2028</v>
      </c>
      <c r="R5" s="227">
        <v>1378</v>
      </c>
      <c r="S5" s="1659">
        <v>1534</v>
      </c>
      <c r="T5" s="1659">
        <v>824</v>
      </c>
      <c r="U5" s="1659">
        <v>674</v>
      </c>
      <c r="V5" s="1659">
        <v>446</v>
      </c>
      <c r="W5" s="1659">
        <v>334</v>
      </c>
      <c r="X5" s="1659">
        <v>401</v>
      </c>
      <c r="Y5" s="1659">
        <v>501</v>
      </c>
      <c r="Z5" s="1696">
        <v>451</v>
      </c>
      <c r="AA5" s="1696">
        <v>505</v>
      </c>
      <c r="AB5" s="1696">
        <v>750</v>
      </c>
      <c r="AC5" s="1696">
        <v>613</v>
      </c>
      <c r="AD5" s="1696">
        <v>718</v>
      </c>
      <c r="AE5" s="1696">
        <v>825</v>
      </c>
    </row>
    <row r="6" spans="1:31">
      <c r="A6" s="1412" t="s">
        <v>1546</v>
      </c>
      <c r="B6" s="1417">
        <v>45</v>
      </c>
      <c r="C6" s="1416">
        <v>43472</v>
      </c>
      <c r="D6" s="1416">
        <v>43472</v>
      </c>
      <c r="E6" s="1423" t="s">
        <v>177</v>
      </c>
      <c r="F6" s="1412" t="s">
        <v>719</v>
      </c>
      <c r="G6" s="1418" t="s">
        <v>916</v>
      </c>
      <c r="H6" s="1414">
        <v>926</v>
      </c>
      <c r="I6" s="1419">
        <v>926</v>
      </c>
      <c r="J6" s="1412"/>
      <c r="K6" s="1424" t="s">
        <v>917</v>
      </c>
      <c r="L6" s="1415">
        <v>6</v>
      </c>
      <c r="M6" s="1415">
        <v>42</v>
      </c>
      <c r="N6" s="1413">
        <v>43475</v>
      </c>
      <c r="O6" s="1676" t="s">
        <v>940</v>
      </c>
      <c r="P6" s="1657" t="s">
        <v>159</v>
      </c>
      <c r="Q6" s="1659">
        <v>19</v>
      </c>
      <c r="R6" s="227">
        <v>21</v>
      </c>
      <c r="S6" s="1659">
        <v>37</v>
      </c>
      <c r="T6" s="1659">
        <v>19</v>
      </c>
      <c r="U6" s="1659">
        <v>25</v>
      </c>
      <c r="V6" s="1659">
        <v>50</v>
      </c>
      <c r="W6" s="1659">
        <v>35</v>
      </c>
      <c r="X6" s="1659">
        <v>41</v>
      </c>
      <c r="Y6" s="1659">
        <v>75</v>
      </c>
      <c r="Z6" s="1696">
        <v>29</v>
      </c>
      <c r="AA6" s="1696">
        <v>66</v>
      </c>
      <c r="AB6" s="1696">
        <v>121</v>
      </c>
      <c r="AC6" s="1696">
        <v>23</v>
      </c>
      <c r="AD6" s="1696">
        <v>16</v>
      </c>
      <c r="AE6" s="1696">
        <v>60</v>
      </c>
    </row>
    <row r="7" spans="1:31">
      <c r="A7" s="1421" t="s">
        <v>1546</v>
      </c>
      <c r="B7" s="1417">
        <v>45</v>
      </c>
      <c r="C7" s="1416">
        <v>43472</v>
      </c>
      <c r="D7" s="1416">
        <v>43472</v>
      </c>
      <c r="E7" s="1412" t="s">
        <v>159</v>
      </c>
      <c r="F7" s="1412" t="s">
        <v>719</v>
      </c>
      <c r="G7" s="1418" t="s">
        <v>918</v>
      </c>
      <c r="H7" s="1414">
        <v>37</v>
      </c>
      <c r="I7" s="1419">
        <v>37</v>
      </c>
      <c r="J7" s="1414"/>
      <c r="K7" s="1412" t="s">
        <v>917</v>
      </c>
      <c r="L7" s="1415">
        <v>2</v>
      </c>
      <c r="M7" s="1415">
        <v>8</v>
      </c>
      <c r="N7" s="1413">
        <v>43475</v>
      </c>
      <c r="O7" s="1676">
        <v>45</v>
      </c>
      <c r="P7" s="1668" t="s">
        <v>177</v>
      </c>
      <c r="Q7" s="1659">
        <v>926</v>
      </c>
      <c r="R7" s="227">
        <v>1350</v>
      </c>
      <c r="S7" s="1659">
        <v>1143</v>
      </c>
      <c r="T7" s="1659">
        <v>799</v>
      </c>
      <c r="U7" s="1659">
        <v>811</v>
      </c>
      <c r="V7" s="1659">
        <v>521</v>
      </c>
      <c r="W7" s="1659">
        <v>409</v>
      </c>
      <c r="X7" s="1659">
        <v>374</v>
      </c>
      <c r="Y7" s="1659">
        <v>484</v>
      </c>
      <c r="Z7" s="1696">
        <v>454</v>
      </c>
      <c r="AA7" s="1696">
        <v>572</v>
      </c>
      <c r="AB7" s="1696">
        <v>546</v>
      </c>
      <c r="AC7" s="1696">
        <v>371</v>
      </c>
      <c r="AD7" s="1696">
        <v>426</v>
      </c>
      <c r="AE7" s="1696">
        <v>474</v>
      </c>
    </row>
    <row r="8" spans="1:31">
      <c r="A8" s="1412" t="s">
        <v>1547</v>
      </c>
      <c r="B8" s="1417">
        <v>90</v>
      </c>
      <c r="C8" s="1416">
        <v>43472</v>
      </c>
      <c r="D8" s="1416">
        <v>43472</v>
      </c>
      <c r="E8" s="1423" t="s">
        <v>177</v>
      </c>
      <c r="F8" s="1412" t="s">
        <v>719</v>
      </c>
      <c r="G8" s="1418" t="s">
        <v>916</v>
      </c>
      <c r="H8" s="1414">
        <v>1442</v>
      </c>
      <c r="I8" s="1419">
        <v>1442</v>
      </c>
      <c r="J8" s="1412"/>
      <c r="K8" s="1424" t="s">
        <v>917</v>
      </c>
      <c r="L8" s="1415">
        <v>6</v>
      </c>
      <c r="M8" s="1415">
        <v>42</v>
      </c>
      <c r="N8" s="1413">
        <v>43475</v>
      </c>
      <c r="O8" s="1676">
        <v>45</v>
      </c>
      <c r="P8" s="1657" t="s">
        <v>159</v>
      </c>
      <c r="Q8" s="1659">
        <v>37</v>
      </c>
      <c r="R8" s="227">
        <v>47</v>
      </c>
      <c r="S8" s="1659">
        <v>37</v>
      </c>
      <c r="T8" s="1659">
        <v>49</v>
      </c>
      <c r="U8" s="1659">
        <v>28</v>
      </c>
      <c r="V8" s="1659">
        <v>24</v>
      </c>
      <c r="W8" s="1659">
        <v>33</v>
      </c>
      <c r="X8" s="1659">
        <v>24</v>
      </c>
      <c r="Y8" s="1659">
        <v>40</v>
      </c>
      <c r="Z8" s="1696">
        <v>47</v>
      </c>
      <c r="AA8" s="1696">
        <v>35</v>
      </c>
      <c r="AB8" s="1696">
        <v>55</v>
      </c>
      <c r="AC8" s="1696">
        <v>33</v>
      </c>
      <c r="AD8" s="1696">
        <v>21</v>
      </c>
      <c r="AE8" s="1696">
        <v>13</v>
      </c>
    </row>
    <row r="9" spans="1:31">
      <c r="A9" s="1412" t="s">
        <v>1547</v>
      </c>
      <c r="B9" s="1417">
        <v>90</v>
      </c>
      <c r="C9" s="1416">
        <v>43472</v>
      </c>
      <c r="D9" s="1416">
        <v>43472</v>
      </c>
      <c r="E9" s="1412" t="s">
        <v>159</v>
      </c>
      <c r="F9" s="1412" t="s">
        <v>719</v>
      </c>
      <c r="G9" s="1418" t="s">
        <v>918</v>
      </c>
      <c r="H9" s="1414">
        <v>44</v>
      </c>
      <c r="I9" s="1419">
        <v>44</v>
      </c>
      <c r="J9" s="1412"/>
      <c r="K9" s="1412" t="s">
        <v>917</v>
      </c>
      <c r="L9" s="1415">
        <v>2</v>
      </c>
      <c r="M9" s="1415">
        <v>8</v>
      </c>
      <c r="N9" s="1413">
        <v>43475</v>
      </c>
      <c r="O9" s="1676">
        <v>90</v>
      </c>
      <c r="P9" s="1668" t="s">
        <v>177</v>
      </c>
      <c r="Q9" s="1659">
        <v>1442</v>
      </c>
      <c r="R9" s="227">
        <v>1542</v>
      </c>
      <c r="S9" s="1659">
        <v>1136</v>
      </c>
      <c r="T9" s="1659">
        <v>884</v>
      </c>
      <c r="U9" s="1659">
        <v>624</v>
      </c>
      <c r="V9" s="1659">
        <v>522</v>
      </c>
      <c r="W9" s="1659">
        <v>477</v>
      </c>
      <c r="X9" s="1659">
        <v>617</v>
      </c>
      <c r="Y9" s="1659">
        <v>505</v>
      </c>
      <c r="Z9" s="1696">
        <v>506</v>
      </c>
      <c r="AA9" s="1696">
        <v>679</v>
      </c>
      <c r="AB9" s="1696">
        <v>911</v>
      </c>
      <c r="AC9" s="1696">
        <v>650</v>
      </c>
      <c r="AD9" s="1696">
        <v>779</v>
      </c>
      <c r="AE9" s="1696">
        <v>835</v>
      </c>
    </row>
    <row r="10" spans="1:31">
      <c r="A10" s="1421" t="s">
        <v>1548</v>
      </c>
      <c r="B10" s="1422" t="s">
        <v>941</v>
      </c>
      <c r="C10" s="1416">
        <v>43472</v>
      </c>
      <c r="D10" s="1416">
        <v>43472</v>
      </c>
      <c r="E10" s="1423" t="s">
        <v>177</v>
      </c>
      <c r="F10" s="1412" t="s">
        <v>719</v>
      </c>
      <c r="G10" s="1418" t="s">
        <v>916</v>
      </c>
      <c r="H10" s="1414">
        <v>1095</v>
      </c>
      <c r="I10" s="1419">
        <v>1095</v>
      </c>
      <c r="J10" s="1412"/>
      <c r="K10" s="1424" t="s">
        <v>917</v>
      </c>
      <c r="L10" s="1415">
        <v>6</v>
      </c>
      <c r="M10" s="1415">
        <v>42</v>
      </c>
      <c r="N10" s="1413">
        <v>43475</v>
      </c>
      <c r="O10" s="1676">
        <v>90</v>
      </c>
      <c r="P10" s="1657" t="s">
        <v>159</v>
      </c>
      <c r="Q10" s="1659">
        <v>44</v>
      </c>
      <c r="R10" s="227">
        <v>28</v>
      </c>
      <c r="S10" s="1659">
        <v>30</v>
      </c>
      <c r="T10" s="1659">
        <v>71</v>
      </c>
      <c r="U10" s="1659">
        <v>17</v>
      </c>
      <c r="V10" s="1659">
        <v>35</v>
      </c>
      <c r="W10" s="1659">
        <v>59</v>
      </c>
      <c r="X10" s="1659">
        <v>62</v>
      </c>
      <c r="Y10" s="1659">
        <v>42</v>
      </c>
      <c r="Z10" s="1696">
        <v>54</v>
      </c>
      <c r="AA10" s="1696">
        <v>89</v>
      </c>
      <c r="AB10" s="1696">
        <v>111</v>
      </c>
      <c r="AC10" s="1696">
        <v>18</v>
      </c>
      <c r="AD10" s="1696">
        <v>21</v>
      </c>
      <c r="AE10" s="1696">
        <v>9</v>
      </c>
    </row>
    <row r="11" spans="1:31">
      <c r="A11" s="1421" t="s">
        <v>1548</v>
      </c>
      <c r="B11" s="1422" t="s">
        <v>941</v>
      </c>
      <c r="C11" s="1416">
        <v>43472</v>
      </c>
      <c r="D11" s="1416">
        <v>43472</v>
      </c>
      <c r="E11" s="1412" t="s">
        <v>159</v>
      </c>
      <c r="F11" s="1412" t="s">
        <v>719</v>
      </c>
      <c r="G11" s="1418" t="s">
        <v>918</v>
      </c>
      <c r="H11" s="1414">
        <v>31</v>
      </c>
      <c r="I11" s="1419">
        <v>31</v>
      </c>
      <c r="J11" s="1414"/>
      <c r="K11" s="1412" t="s">
        <v>917</v>
      </c>
      <c r="L11" s="1415">
        <v>2</v>
      </c>
      <c r="M11" s="1415">
        <v>8</v>
      </c>
      <c r="N11" s="1413">
        <v>43475</v>
      </c>
      <c r="O11" s="1677" t="s">
        <v>941</v>
      </c>
      <c r="P11" s="1668" t="s">
        <v>177</v>
      </c>
      <c r="Q11" s="1659">
        <v>1095</v>
      </c>
      <c r="R11" s="227">
        <v>1657</v>
      </c>
      <c r="S11" s="1659">
        <v>1085</v>
      </c>
      <c r="T11" s="1659">
        <v>955</v>
      </c>
      <c r="U11" s="1659">
        <v>737</v>
      </c>
      <c r="V11" s="1659">
        <v>516</v>
      </c>
      <c r="W11" s="1659">
        <v>429</v>
      </c>
      <c r="X11" s="1659">
        <v>445</v>
      </c>
      <c r="Y11" s="1659">
        <v>586</v>
      </c>
      <c r="Z11" s="1696">
        <v>502</v>
      </c>
      <c r="AA11" s="1696">
        <v>712</v>
      </c>
      <c r="AB11" s="1696">
        <v>369</v>
      </c>
      <c r="AC11" s="1696">
        <v>606</v>
      </c>
      <c r="AD11" s="1696">
        <v>565</v>
      </c>
      <c r="AE11" s="1696">
        <v>576</v>
      </c>
    </row>
    <row r="12" spans="1:31">
      <c r="A12" s="1412" t="s">
        <v>1549</v>
      </c>
      <c r="B12" s="1417" t="s">
        <v>942</v>
      </c>
      <c r="C12" s="1416">
        <v>43472</v>
      </c>
      <c r="D12" s="1416">
        <v>43472</v>
      </c>
      <c r="E12" s="1423" t="s">
        <v>177</v>
      </c>
      <c r="F12" s="1412" t="s">
        <v>719</v>
      </c>
      <c r="G12" s="1418" t="s">
        <v>916</v>
      </c>
      <c r="H12" s="1414">
        <v>810</v>
      </c>
      <c r="I12" s="1419">
        <v>810</v>
      </c>
      <c r="J12" s="1412"/>
      <c r="K12" s="1424" t="s">
        <v>917</v>
      </c>
      <c r="L12" s="1415">
        <v>6</v>
      </c>
      <c r="M12" s="1415">
        <v>42</v>
      </c>
      <c r="N12" s="1413">
        <v>43475</v>
      </c>
      <c r="O12" s="1677" t="s">
        <v>941</v>
      </c>
      <c r="P12" s="1657" t="s">
        <v>159</v>
      </c>
      <c r="Q12" s="1659">
        <v>31</v>
      </c>
      <c r="R12" s="227">
        <v>79</v>
      </c>
      <c r="S12" s="1659">
        <v>27</v>
      </c>
      <c r="T12" s="1659">
        <v>58</v>
      </c>
      <c r="U12" s="1659">
        <v>18</v>
      </c>
      <c r="V12" s="1659">
        <v>31</v>
      </c>
      <c r="W12" s="1659">
        <v>25</v>
      </c>
      <c r="X12" s="1659">
        <v>23</v>
      </c>
      <c r="Y12" s="1659">
        <v>38</v>
      </c>
      <c r="Z12" s="1696">
        <v>46</v>
      </c>
      <c r="AA12" s="1696">
        <v>44</v>
      </c>
      <c r="AB12" s="1696">
        <v>27</v>
      </c>
      <c r="AC12" s="1696">
        <v>64</v>
      </c>
      <c r="AD12" s="1696">
        <v>31</v>
      </c>
      <c r="AE12" s="1696">
        <v>21</v>
      </c>
    </row>
    <row r="13" spans="1:31">
      <c r="A13" s="1412" t="s">
        <v>1549</v>
      </c>
      <c r="B13" s="1417" t="s">
        <v>942</v>
      </c>
      <c r="C13" s="1416">
        <v>43472</v>
      </c>
      <c r="D13" s="1416">
        <v>43472</v>
      </c>
      <c r="E13" s="1412" t="s">
        <v>159</v>
      </c>
      <c r="F13" s="1412" t="s">
        <v>719</v>
      </c>
      <c r="G13" s="1418" t="s">
        <v>918</v>
      </c>
      <c r="H13" s="1414">
        <v>65</v>
      </c>
      <c r="I13" s="1419">
        <v>65</v>
      </c>
      <c r="J13" s="1414"/>
      <c r="K13" s="1412" t="s">
        <v>917</v>
      </c>
      <c r="L13" s="1415">
        <v>2</v>
      </c>
      <c r="M13" s="1415">
        <v>8</v>
      </c>
      <c r="N13" s="1413">
        <v>43475</v>
      </c>
      <c r="O13" s="1676" t="s">
        <v>942</v>
      </c>
      <c r="P13" s="1668" t="s">
        <v>177</v>
      </c>
      <c r="Q13" s="1659">
        <v>810</v>
      </c>
      <c r="R13" s="227">
        <v>1264</v>
      </c>
      <c r="S13" s="1659">
        <v>1760</v>
      </c>
      <c r="T13" s="1659">
        <v>1096</v>
      </c>
      <c r="U13" s="1659">
        <v>755</v>
      </c>
      <c r="V13" s="1659">
        <v>735</v>
      </c>
      <c r="W13" s="1659">
        <v>586</v>
      </c>
      <c r="X13" s="1659">
        <v>45</v>
      </c>
      <c r="Y13" s="1659">
        <v>570</v>
      </c>
      <c r="Z13" s="1696">
        <v>508</v>
      </c>
      <c r="AA13" s="1696">
        <v>443</v>
      </c>
      <c r="AB13" s="1696">
        <v>414</v>
      </c>
      <c r="AC13" s="1696">
        <v>453</v>
      </c>
      <c r="AD13" s="1696">
        <v>632</v>
      </c>
      <c r="AE13" s="1696">
        <v>676</v>
      </c>
    </row>
    <row r="14" spans="1:31">
      <c r="A14" s="436" t="s">
        <v>1553</v>
      </c>
      <c r="B14" s="60" t="s">
        <v>939</v>
      </c>
      <c r="C14" s="92">
        <v>43507</v>
      </c>
      <c r="D14" s="92">
        <v>43507</v>
      </c>
      <c r="E14" s="228" t="s">
        <v>177</v>
      </c>
      <c r="F14" s="435" t="s">
        <v>719</v>
      </c>
      <c r="G14" s="1389" t="s">
        <v>916</v>
      </c>
      <c r="H14" s="227">
        <v>752</v>
      </c>
      <c r="I14" s="228">
        <v>752</v>
      </c>
      <c r="J14" s="435"/>
      <c r="K14" s="163" t="s">
        <v>917</v>
      </c>
      <c r="L14" s="174">
        <v>6</v>
      </c>
      <c r="M14" s="174">
        <v>42</v>
      </c>
      <c r="N14" s="175">
        <v>43523</v>
      </c>
      <c r="O14" s="1676" t="s">
        <v>942</v>
      </c>
      <c r="P14" s="1657" t="s">
        <v>159</v>
      </c>
      <c r="Q14" s="1659">
        <v>65</v>
      </c>
      <c r="R14" s="227">
        <v>38</v>
      </c>
      <c r="S14" s="1659">
        <v>42</v>
      </c>
      <c r="T14" s="1659">
        <v>93</v>
      </c>
      <c r="U14" s="1659">
        <v>25</v>
      </c>
      <c r="V14" s="1659">
        <v>48</v>
      </c>
      <c r="W14" s="1659">
        <v>51</v>
      </c>
      <c r="X14" s="1659">
        <v>543</v>
      </c>
      <c r="Y14" s="1659">
        <v>90</v>
      </c>
      <c r="Z14" s="1696">
        <v>79</v>
      </c>
      <c r="AA14" s="1696">
        <v>48</v>
      </c>
      <c r="AB14" s="1696">
        <v>61</v>
      </c>
      <c r="AC14" s="1696">
        <v>61</v>
      </c>
      <c r="AD14" s="1696">
        <v>37</v>
      </c>
      <c r="AE14" s="1696">
        <v>223</v>
      </c>
    </row>
    <row r="15" spans="1:31">
      <c r="A15" s="436" t="s">
        <v>1553</v>
      </c>
      <c r="B15" s="60" t="s">
        <v>939</v>
      </c>
      <c r="C15" s="92">
        <v>43507</v>
      </c>
      <c r="D15" s="92">
        <v>43507</v>
      </c>
      <c r="E15" s="435" t="s">
        <v>159</v>
      </c>
      <c r="F15" s="435" t="s">
        <v>719</v>
      </c>
      <c r="G15" s="1389" t="s">
        <v>918</v>
      </c>
      <c r="H15" s="227">
        <v>6</v>
      </c>
      <c r="I15" s="228">
        <v>6</v>
      </c>
      <c r="J15" s="227" t="s">
        <v>926</v>
      </c>
      <c r="K15" s="435" t="s">
        <v>917</v>
      </c>
      <c r="L15" s="174">
        <v>2</v>
      </c>
      <c r="M15" s="174">
        <v>8</v>
      </c>
      <c r="N15" s="175">
        <v>43523</v>
      </c>
      <c r="O15" s="1678"/>
      <c r="P15" s="1405"/>
      <c r="Q15" s="1405">
        <v>43472</v>
      </c>
      <c r="R15" s="1405">
        <v>43507</v>
      </c>
      <c r="S15" s="1405">
        <v>43545</v>
      </c>
      <c r="T15" s="1405">
        <v>43563</v>
      </c>
      <c r="U15" s="1405">
        <v>43591</v>
      </c>
      <c r="V15" s="1405">
        <v>43626</v>
      </c>
      <c r="W15" s="1405">
        <v>43654</v>
      </c>
      <c r="X15" s="1405">
        <v>43661</v>
      </c>
      <c r="Y15" s="1405">
        <v>43682</v>
      </c>
      <c r="Z15" s="1405">
        <v>43690</v>
      </c>
      <c r="AA15" s="1405">
        <v>43717</v>
      </c>
      <c r="AB15" s="1405">
        <v>43724</v>
      </c>
      <c r="AC15" s="1405">
        <v>43752</v>
      </c>
      <c r="AD15" s="1405">
        <v>43783</v>
      </c>
      <c r="AE15" s="1405">
        <v>43808</v>
      </c>
    </row>
    <row r="16" spans="1:31">
      <c r="A16" s="435" t="s">
        <v>1554</v>
      </c>
      <c r="B16" s="60" t="s">
        <v>940</v>
      </c>
      <c r="C16" s="92">
        <v>43507</v>
      </c>
      <c r="D16" s="92">
        <v>43507</v>
      </c>
      <c r="E16" s="228" t="s">
        <v>177</v>
      </c>
      <c r="F16" s="435" t="s">
        <v>719</v>
      </c>
      <c r="G16" s="1389" t="s">
        <v>916</v>
      </c>
      <c r="H16" s="227">
        <v>1378</v>
      </c>
      <c r="I16" s="228">
        <v>1378</v>
      </c>
      <c r="J16" s="435"/>
      <c r="K16" s="163" t="s">
        <v>917</v>
      </c>
      <c r="L16" s="174">
        <v>6</v>
      </c>
      <c r="M16" s="174">
        <v>42</v>
      </c>
      <c r="N16" s="175">
        <v>43523</v>
      </c>
      <c r="O16" s="535">
        <v>45</v>
      </c>
      <c r="P16" s="1668" t="s">
        <v>1353</v>
      </c>
      <c r="Q16" s="1680">
        <v>8</v>
      </c>
      <c r="R16" s="227">
        <v>4</v>
      </c>
      <c r="S16" s="1713">
        <v>2</v>
      </c>
      <c r="T16" s="1713">
        <v>2</v>
      </c>
      <c r="U16" s="1713">
        <v>2</v>
      </c>
      <c r="V16" s="1713">
        <v>4</v>
      </c>
      <c r="W16" s="1713">
        <v>4</v>
      </c>
      <c r="Y16" s="1713">
        <v>2</v>
      </c>
      <c r="AA16" s="1713">
        <v>2</v>
      </c>
      <c r="AC16" s="1713">
        <v>2</v>
      </c>
      <c r="AD16" s="1713">
        <v>2</v>
      </c>
      <c r="AE16" s="1713">
        <v>2</v>
      </c>
    </row>
    <row r="17" spans="1:31">
      <c r="A17" s="436" t="s">
        <v>1554</v>
      </c>
      <c r="B17" s="60" t="s">
        <v>940</v>
      </c>
      <c r="C17" s="92">
        <v>43507</v>
      </c>
      <c r="D17" s="92">
        <v>43507</v>
      </c>
      <c r="E17" s="435" t="s">
        <v>159</v>
      </c>
      <c r="F17" s="435" t="s">
        <v>719</v>
      </c>
      <c r="G17" s="1389" t="s">
        <v>918</v>
      </c>
      <c r="H17" s="227">
        <v>21</v>
      </c>
      <c r="I17" s="228">
        <v>21</v>
      </c>
      <c r="J17" s="227"/>
      <c r="K17" s="435" t="s">
        <v>917</v>
      </c>
      <c r="L17" s="174">
        <v>2</v>
      </c>
      <c r="M17" s="174">
        <v>8</v>
      </c>
      <c r="N17" s="175">
        <v>43523</v>
      </c>
      <c r="O17" s="1391">
        <v>90</v>
      </c>
      <c r="P17" s="1668" t="s">
        <v>1353</v>
      </c>
      <c r="Q17" s="1681">
        <v>7</v>
      </c>
      <c r="R17" s="227">
        <v>2</v>
      </c>
      <c r="S17" s="1713">
        <v>4</v>
      </c>
      <c r="T17" s="1713">
        <v>4</v>
      </c>
      <c r="U17" s="1713">
        <v>13</v>
      </c>
      <c r="V17" s="1713">
        <v>23</v>
      </c>
      <c r="W17" s="1713">
        <v>23</v>
      </c>
      <c r="Y17" s="1713">
        <v>23</v>
      </c>
      <c r="AA17" s="1713">
        <v>240</v>
      </c>
      <c r="AC17" s="1713">
        <v>30</v>
      </c>
      <c r="AD17" s="1713">
        <v>4</v>
      </c>
      <c r="AE17" s="1713">
        <v>13</v>
      </c>
    </row>
    <row r="18" spans="1:31">
      <c r="A18" s="435" t="s">
        <v>1555</v>
      </c>
      <c r="B18" s="60">
        <v>45</v>
      </c>
      <c r="C18" s="92">
        <v>43507</v>
      </c>
      <c r="D18" s="92">
        <v>43507</v>
      </c>
      <c r="E18" s="228" t="s">
        <v>177</v>
      </c>
      <c r="F18" s="435" t="s">
        <v>719</v>
      </c>
      <c r="G18" s="1389" t="s">
        <v>916</v>
      </c>
      <c r="H18" s="227">
        <v>1350</v>
      </c>
      <c r="I18" s="228">
        <v>1350</v>
      </c>
      <c r="J18" s="435"/>
      <c r="K18" s="163" t="s">
        <v>917</v>
      </c>
      <c r="L18" s="174">
        <v>6</v>
      </c>
      <c r="M18" s="174">
        <v>42</v>
      </c>
      <c r="N18" s="175">
        <v>43523</v>
      </c>
      <c r="O18" s="1679" t="s">
        <v>1567</v>
      </c>
      <c r="P18" s="1668" t="s">
        <v>1353</v>
      </c>
      <c r="R18" s="227">
        <v>4</v>
      </c>
      <c r="S18" s="1713">
        <v>13</v>
      </c>
      <c r="T18" s="1713">
        <v>4</v>
      </c>
      <c r="U18" s="1713">
        <v>8</v>
      </c>
      <c r="V18" s="1713">
        <v>50</v>
      </c>
      <c r="W18" s="1713">
        <v>50</v>
      </c>
      <c r="Y18" s="1713">
        <v>23</v>
      </c>
      <c r="AA18" s="1713">
        <v>30</v>
      </c>
      <c r="AC18" s="1713">
        <v>23</v>
      </c>
      <c r="AD18" s="1713">
        <v>2</v>
      </c>
      <c r="AE18" s="1713">
        <v>2</v>
      </c>
    </row>
    <row r="19" spans="1:31">
      <c r="A19" s="435" t="s">
        <v>1555</v>
      </c>
      <c r="B19" s="60">
        <v>45</v>
      </c>
      <c r="C19" s="92">
        <v>43507</v>
      </c>
      <c r="D19" s="92">
        <v>43507</v>
      </c>
      <c r="E19" s="435" t="s">
        <v>159</v>
      </c>
      <c r="F19" s="435" t="s">
        <v>719</v>
      </c>
      <c r="G19" s="1389" t="s">
        <v>918</v>
      </c>
      <c r="H19" s="227">
        <v>47</v>
      </c>
      <c r="I19" s="228">
        <v>47</v>
      </c>
      <c r="J19" s="227"/>
      <c r="K19" s="435" t="s">
        <v>917</v>
      </c>
      <c r="L19" s="174">
        <v>2</v>
      </c>
      <c r="M19" s="174">
        <v>8</v>
      </c>
      <c r="N19" s="175">
        <v>43523</v>
      </c>
      <c r="O19" s="1024"/>
    </row>
    <row r="20" spans="1:31">
      <c r="A20" s="435" t="s">
        <v>1556</v>
      </c>
      <c r="B20" s="60">
        <v>90</v>
      </c>
      <c r="C20" s="92">
        <v>43507</v>
      </c>
      <c r="D20" s="92">
        <v>43507</v>
      </c>
      <c r="E20" s="228" t="s">
        <v>177</v>
      </c>
      <c r="F20" s="435" t="s">
        <v>719</v>
      </c>
      <c r="G20" s="1389" t="s">
        <v>916</v>
      </c>
      <c r="H20" s="227">
        <v>1542</v>
      </c>
      <c r="I20" s="228">
        <v>1542</v>
      </c>
      <c r="J20" s="435"/>
      <c r="K20" s="163" t="s">
        <v>917</v>
      </c>
      <c r="L20" s="174">
        <v>6</v>
      </c>
      <c r="M20" s="174">
        <v>42</v>
      </c>
      <c r="N20" s="175">
        <v>43523</v>
      </c>
      <c r="P20" s="1405"/>
      <c r="Q20" s="1405">
        <v>43472</v>
      </c>
      <c r="R20" s="1405">
        <v>43507</v>
      </c>
      <c r="S20" s="1405">
        <v>43545</v>
      </c>
      <c r="T20" s="1405">
        <v>43563</v>
      </c>
      <c r="U20" s="1405">
        <v>43591</v>
      </c>
      <c r="V20" s="1405">
        <v>43626</v>
      </c>
      <c r="W20" s="1405">
        <v>43654</v>
      </c>
      <c r="X20" s="1405">
        <v>43682</v>
      </c>
      <c r="Y20" s="1405">
        <v>43717</v>
      </c>
      <c r="Z20" s="1405">
        <v>43752</v>
      </c>
      <c r="AA20" s="1405">
        <v>43783</v>
      </c>
      <c r="AB20" s="1405">
        <v>43808</v>
      </c>
    </row>
    <row r="21" spans="1:31">
      <c r="A21" s="435" t="s">
        <v>1556</v>
      </c>
      <c r="B21" s="60">
        <v>90</v>
      </c>
      <c r="C21" s="92">
        <v>43507</v>
      </c>
      <c r="D21" s="92">
        <v>43507</v>
      </c>
      <c r="E21" s="435" t="s">
        <v>159</v>
      </c>
      <c r="F21" s="435" t="s">
        <v>719</v>
      </c>
      <c r="G21" s="1389" t="s">
        <v>918</v>
      </c>
      <c r="H21" s="227">
        <v>28</v>
      </c>
      <c r="I21" s="228">
        <v>28</v>
      </c>
      <c r="J21" s="435"/>
      <c r="K21" s="435" t="s">
        <v>917</v>
      </c>
      <c r="L21" s="174">
        <v>2</v>
      </c>
      <c r="M21" s="174">
        <v>8</v>
      </c>
      <c r="N21" s="175">
        <v>43523</v>
      </c>
      <c r="O21" s="535">
        <v>45</v>
      </c>
      <c r="P21" s="1706" t="s">
        <v>1353</v>
      </c>
      <c r="Q21" s="1680">
        <v>8</v>
      </c>
      <c r="R21" s="227">
        <v>4</v>
      </c>
      <c r="S21" s="1713">
        <v>2</v>
      </c>
      <c r="T21" s="1713">
        <v>2</v>
      </c>
      <c r="U21" s="1713">
        <v>2</v>
      </c>
      <c r="V21" s="1713">
        <v>4</v>
      </c>
      <c r="W21" s="1713">
        <v>4</v>
      </c>
      <c r="X21" s="1713">
        <v>2</v>
      </c>
      <c r="Y21" s="1713">
        <v>2</v>
      </c>
      <c r="Z21" s="1713">
        <v>2</v>
      </c>
      <c r="AA21" s="1713">
        <v>2</v>
      </c>
      <c r="AB21" s="1713">
        <v>2</v>
      </c>
    </row>
    <row r="22" spans="1:31">
      <c r="A22" s="435" t="s">
        <v>1557</v>
      </c>
      <c r="B22" s="60" t="s">
        <v>941</v>
      </c>
      <c r="C22" s="92">
        <v>43507</v>
      </c>
      <c r="D22" s="92">
        <v>43507</v>
      </c>
      <c r="E22" s="228" t="s">
        <v>177</v>
      </c>
      <c r="F22" s="435" t="s">
        <v>719</v>
      </c>
      <c r="G22" s="1389" t="s">
        <v>916</v>
      </c>
      <c r="H22" s="227">
        <v>1657</v>
      </c>
      <c r="I22" s="228">
        <v>1657</v>
      </c>
      <c r="J22" s="435"/>
      <c r="K22" s="163" t="s">
        <v>917</v>
      </c>
      <c r="L22" s="174">
        <v>6</v>
      </c>
      <c r="M22" s="174">
        <v>42</v>
      </c>
      <c r="N22" s="175">
        <v>43523</v>
      </c>
      <c r="O22" s="1391">
        <v>90</v>
      </c>
      <c r="P22" s="1706" t="s">
        <v>1353</v>
      </c>
      <c r="Q22" s="1681">
        <v>7</v>
      </c>
      <c r="R22" s="227">
        <v>2</v>
      </c>
      <c r="S22" s="1713">
        <v>4</v>
      </c>
      <c r="T22" s="1713">
        <v>4</v>
      </c>
      <c r="U22" s="1713">
        <v>13</v>
      </c>
      <c r="V22" s="1713">
        <v>23</v>
      </c>
      <c r="W22" s="1713">
        <v>23</v>
      </c>
      <c r="X22" s="1713">
        <v>23</v>
      </c>
      <c r="Y22" s="1713">
        <v>240</v>
      </c>
      <c r="Z22" s="1713">
        <v>30</v>
      </c>
      <c r="AA22" s="1713">
        <v>4</v>
      </c>
      <c r="AB22" s="1713">
        <v>13</v>
      </c>
    </row>
    <row r="23" spans="1:31">
      <c r="A23" s="435" t="s">
        <v>1557</v>
      </c>
      <c r="B23" s="60" t="s">
        <v>941</v>
      </c>
      <c r="C23" s="92">
        <v>43507</v>
      </c>
      <c r="D23" s="92">
        <v>43507</v>
      </c>
      <c r="E23" s="435" t="s">
        <v>159</v>
      </c>
      <c r="F23" s="435" t="s">
        <v>719</v>
      </c>
      <c r="G23" s="1389" t="s">
        <v>918</v>
      </c>
      <c r="H23" s="227">
        <v>79</v>
      </c>
      <c r="I23" s="228">
        <v>79</v>
      </c>
      <c r="J23" s="227"/>
      <c r="K23" s="435" t="s">
        <v>917</v>
      </c>
      <c r="L23" s="174">
        <v>2</v>
      </c>
      <c r="M23" s="174">
        <v>8</v>
      </c>
      <c r="N23" s="175">
        <v>43523</v>
      </c>
      <c r="O23" s="1679" t="s">
        <v>1567</v>
      </c>
      <c r="P23" s="1706" t="s">
        <v>1353</v>
      </c>
      <c r="R23" s="227">
        <v>4</v>
      </c>
      <c r="S23" s="1713">
        <v>13</v>
      </c>
      <c r="T23" s="1713">
        <v>4</v>
      </c>
      <c r="U23" s="1713">
        <v>8</v>
      </c>
      <c r="V23" s="1713">
        <v>50</v>
      </c>
      <c r="W23" s="1713">
        <v>50</v>
      </c>
      <c r="X23" s="1713">
        <v>23</v>
      </c>
      <c r="Y23" s="1713">
        <v>30</v>
      </c>
      <c r="Z23" s="1713">
        <v>23</v>
      </c>
      <c r="AA23" s="1713">
        <v>2</v>
      </c>
      <c r="AB23" s="1713">
        <v>2</v>
      </c>
    </row>
    <row r="24" spans="1:31">
      <c r="A24" s="435" t="s">
        <v>1558</v>
      </c>
      <c r="B24" s="60" t="s">
        <v>942</v>
      </c>
      <c r="C24" s="92">
        <v>43507</v>
      </c>
      <c r="D24" s="92">
        <v>43507</v>
      </c>
      <c r="E24" s="228" t="s">
        <v>177</v>
      </c>
      <c r="F24" s="435" t="s">
        <v>719</v>
      </c>
      <c r="G24" s="1389" t="s">
        <v>916</v>
      </c>
      <c r="H24" s="227">
        <v>1264</v>
      </c>
      <c r="I24" s="228">
        <v>1264</v>
      </c>
      <c r="J24" s="435"/>
      <c r="K24" s="163" t="s">
        <v>917</v>
      </c>
      <c r="L24" s="174">
        <v>6</v>
      </c>
      <c r="M24" s="174">
        <v>42</v>
      </c>
      <c r="N24" s="175">
        <v>43523</v>
      </c>
      <c r="O24" s="1024"/>
    </row>
    <row r="25" spans="1:31">
      <c r="A25" s="435" t="s">
        <v>1558</v>
      </c>
      <c r="B25" s="60" t="s">
        <v>942</v>
      </c>
      <c r="C25" s="92">
        <v>43507</v>
      </c>
      <c r="D25" s="92">
        <v>43507</v>
      </c>
      <c r="E25" s="435" t="s">
        <v>159</v>
      </c>
      <c r="F25" s="435" t="s">
        <v>719</v>
      </c>
      <c r="G25" s="1389" t="s">
        <v>918</v>
      </c>
      <c r="H25" s="227">
        <v>38</v>
      </c>
      <c r="I25" s="228">
        <v>38</v>
      </c>
      <c r="J25" s="227"/>
      <c r="K25" s="435" t="s">
        <v>917</v>
      </c>
      <c r="L25" s="174">
        <v>2</v>
      </c>
      <c r="M25" s="174">
        <v>8</v>
      </c>
      <c r="N25" s="175">
        <v>43523</v>
      </c>
      <c r="O25" s="1024"/>
    </row>
    <row r="26" spans="1:31">
      <c r="A26" s="1432" t="s">
        <v>1568</v>
      </c>
      <c r="B26" s="1438" t="s">
        <v>939</v>
      </c>
      <c r="C26" s="1437">
        <v>43545</v>
      </c>
      <c r="D26" s="1437">
        <v>43545</v>
      </c>
      <c r="E26" s="1444" t="s">
        <v>177</v>
      </c>
      <c r="F26" s="1433" t="s">
        <v>719</v>
      </c>
      <c r="G26" s="1439" t="s">
        <v>916</v>
      </c>
      <c r="H26" s="1435">
        <v>900</v>
      </c>
      <c r="I26" s="1440">
        <v>900</v>
      </c>
      <c r="J26" s="1433"/>
      <c r="K26" s="1445" t="s">
        <v>917</v>
      </c>
      <c r="L26" s="1436">
        <v>6</v>
      </c>
      <c r="M26" s="1436">
        <v>42</v>
      </c>
      <c r="N26" s="1434">
        <v>43550</v>
      </c>
      <c r="O26" s="1024"/>
    </row>
    <row r="27" spans="1:31">
      <c r="A27" s="1432" t="s">
        <v>1568</v>
      </c>
      <c r="B27" s="1438" t="s">
        <v>939</v>
      </c>
      <c r="C27" s="1437">
        <v>43545</v>
      </c>
      <c r="D27" s="1437">
        <v>43545</v>
      </c>
      <c r="E27" s="1433" t="s">
        <v>159</v>
      </c>
      <c r="F27" s="1433" t="s">
        <v>719</v>
      </c>
      <c r="G27" s="1439" t="s">
        <v>918</v>
      </c>
      <c r="H27" s="1435">
        <v>21</v>
      </c>
      <c r="I27" s="1440">
        <v>21</v>
      </c>
      <c r="J27" s="1435"/>
      <c r="K27" s="1433" t="s">
        <v>917</v>
      </c>
      <c r="L27" s="1436">
        <v>2</v>
      </c>
      <c r="M27" s="1436">
        <v>8</v>
      </c>
      <c r="N27" s="1434">
        <v>43550</v>
      </c>
      <c r="O27" s="1024"/>
    </row>
    <row r="28" spans="1:31">
      <c r="A28" s="1442" t="s">
        <v>1569</v>
      </c>
      <c r="B28" s="1438" t="s">
        <v>940</v>
      </c>
      <c r="C28" s="1437">
        <v>43545</v>
      </c>
      <c r="D28" s="1437">
        <v>43545</v>
      </c>
      <c r="E28" s="1444" t="s">
        <v>177</v>
      </c>
      <c r="F28" s="1433" t="s">
        <v>719</v>
      </c>
      <c r="G28" s="1439" t="s">
        <v>916</v>
      </c>
      <c r="H28" s="1435">
        <v>1534</v>
      </c>
      <c r="I28" s="1440">
        <v>1534</v>
      </c>
      <c r="J28" s="1433"/>
      <c r="K28" s="1445" t="s">
        <v>917</v>
      </c>
      <c r="L28" s="1436">
        <v>6</v>
      </c>
      <c r="M28" s="1436">
        <v>42</v>
      </c>
      <c r="N28" s="1434">
        <v>43550</v>
      </c>
      <c r="O28" s="1024"/>
    </row>
    <row r="29" spans="1:31">
      <c r="A29" s="1432" t="s">
        <v>1569</v>
      </c>
      <c r="B29" s="1438" t="s">
        <v>940</v>
      </c>
      <c r="C29" s="1437">
        <v>43545</v>
      </c>
      <c r="D29" s="1437">
        <v>43545</v>
      </c>
      <c r="E29" s="1433" t="s">
        <v>159</v>
      </c>
      <c r="F29" s="1433" t="s">
        <v>719</v>
      </c>
      <c r="G29" s="1439" t="s">
        <v>918</v>
      </c>
      <c r="H29" s="1435">
        <v>37</v>
      </c>
      <c r="I29" s="1440">
        <v>37</v>
      </c>
      <c r="J29" s="1435"/>
      <c r="K29" s="1433" t="s">
        <v>917</v>
      </c>
      <c r="L29" s="1436">
        <v>2</v>
      </c>
      <c r="M29" s="1436">
        <v>8</v>
      </c>
      <c r="N29" s="1434">
        <v>43550</v>
      </c>
      <c r="O29" s="1024"/>
    </row>
    <row r="30" spans="1:31">
      <c r="A30" s="1433" t="s">
        <v>1570</v>
      </c>
      <c r="B30" s="1438">
        <v>45</v>
      </c>
      <c r="C30" s="1437">
        <v>43545</v>
      </c>
      <c r="D30" s="1437">
        <v>43545</v>
      </c>
      <c r="E30" s="1444" t="s">
        <v>177</v>
      </c>
      <c r="F30" s="1433" t="s">
        <v>719</v>
      </c>
      <c r="G30" s="1439" t="s">
        <v>916</v>
      </c>
      <c r="H30" s="1435">
        <v>1143</v>
      </c>
      <c r="I30" s="1440">
        <v>1143</v>
      </c>
      <c r="J30" s="1433"/>
      <c r="K30" s="1445" t="s">
        <v>917</v>
      </c>
      <c r="L30" s="1436">
        <v>6</v>
      </c>
      <c r="M30" s="1436">
        <v>42</v>
      </c>
      <c r="N30" s="1434">
        <v>43550</v>
      </c>
      <c r="O30" s="1024"/>
    </row>
    <row r="31" spans="1:31">
      <c r="A31" s="1442" t="s">
        <v>1570</v>
      </c>
      <c r="B31" s="1438">
        <v>45</v>
      </c>
      <c r="C31" s="1437">
        <v>43545</v>
      </c>
      <c r="D31" s="1437">
        <v>43545</v>
      </c>
      <c r="E31" s="1433" t="s">
        <v>159</v>
      </c>
      <c r="F31" s="1433" t="s">
        <v>719</v>
      </c>
      <c r="G31" s="1439" t="s">
        <v>918</v>
      </c>
      <c r="H31" s="1435">
        <v>37</v>
      </c>
      <c r="I31" s="1440">
        <v>37</v>
      </c>
      <c r="J31" s="1435"/>
      <c r="K31" s="1433" t="s">
        <v>917</v>
      </c>
      <c r="L31" s="1436">
        <v>2</v>
      </c>
      <c r="M31" s="1436">
        <v>8</v>
      </c>
      <c r="N31" s="1434">
        <v>43550</v>
      </c>
      <c r="O31" s="1024"/>
    </row>
    <row r="32" spans="1:31">
      <c r="A32" s="1433" t="s">
        <v>1571</v>
      </c>
      <c r="B32" s="1438">
        <v>90</v>
      </c>
      <c r="C32" s="1437">
        <v>43545</v>
      </c>
      <c r="D32" s="1437">
        <v>43545</v>
      </c>
      <c r="E32" s="1444" t="s">
        <v>177</v>
      </c>
      <c r="F32" s="1433" t="s">
        <v>719</v>
      </c>
      <c r="G32" s="1439" t="s">
        <v>916</v>
      </c>
      <c r="H32" s="1435">
        <v>1136</v>
      </c>
      <c r="I32" s="1440">
        <v>1136</v>
      </c>
      <c r="J32" s="1433"/>
      <c r="K32" s="1445" t="s">
        <v>917</v>
      </c>
      <c r="L32" s="1436">
        <v>6</v>
      </c>
      <c r="M32" s="1436">
        <v>42</v>
      </c>
      <c r="N32" s="1434">
        <v>43550</v>
      </c>
      <c r="O32" s="1024"/>
    </row>
    <row r="33" spans="1:15">
      <c r="A33" s="1433" t="s">
        <v>1571</v>
      </c>
      <c r="B33" s="1438">
        <v>90</v>
      </c>
      <c r="C33" s="1437">
        <v>43545</v>
      </c>
      <c r="D33" s="1437">
        <v>43545</v>
      </c>
      <c r="E33" s="1433" t="s">
        <v>159</v>
      </c>
      <c r="F33" s="1433" t="s">
        <v>719</v>
      </c>
      <c r="G33" s="1439" t="s">
        <v>918</v>
      </c>
      <c r="H33" s="1435">
        <v>30</v>
      </c>
      <c r="I33" s="1440">
        <v>30</v>
      </c>
      <c r="J33" s="1433"/>
      <c r="K33" s="1433" t="s">
        <v>917</v>
      </c>
      <c r="L33" s="1436">
        <v>2</v>
      </c>
      <c r="M33" s="1436">
        <v>8</v>
      </c>
      <c r="N33" s="1434">
        <v>43550</v>
      </c>
      <c r="O33" s="1024"/>
    </row>
    <row r="34" spans="1:15">
      <c r="A34" s="1442" t="s">
        <v>1572</v>
      </c>
      <c r="B34" s="1443" t="s">
        <v>941</v>
      </c>
      <c r="C34" s="1437">
        <v>43545</v>
      </c>
      <c r="D34" s="1437">
        <v>43545</v>
      </c>
      <c r="E34" s="1444" t="s">
        <v>177</v>
      </c>
      <c r="F34" s="1433" t="s">
        <v>719</v>
      </c>
      <c r="G34" s="1439" t="s">
        <v>916</v>
      </c>
      <c r="H34" s="1435">
        <v>1085</v>
      </c>
      <c r="I34" s="1440">
        <v>1085</v>
      </c>
      <c r="J34" s="1433"/>
      <c r="K34" s="1445" t="s">
        <v>917</v>
      </c>
      <c r="L34" s="1436">
        <v>6</v>
      </c>
      <c r="M34" s="1436">
        <v>42</v>
      </c>
      <c r="N34" s="1434">
        <v>43550</v>
      </c>
      <c r="O34" s="1024"/>
    </row>
    <row r="35" spans="1:15">
      <c r="A35" s="1442" t="s">
        <v>1572</v>
      </c>
      <c r="B35" s="1443" t="s">
        <v>941</v>
      </c>
      <c r="C35" s="1437">
        <v>43545</v>
      </c>
      <c r="D35" s="1437">
        <v>43545</v>
      </c>
      <c r="E35" s="1433" t="s">
        <v>159</v>
      </c>
      <c r="F35" s="1433" t="s">
        <v>719</v>
      </c>
      <c r="G35" s="1439" t="s">
        <v>918</v>
      </c>
      <c r="H35" s="1435">
        <v>27</v>
      </c>
      <c r="I35" s="1440">
        <v>27</v>
      </c>
      <c r="J35" s="1435"/>
      <c r="K35" s="1433" t="s">
        <v>917</v>
      </c>
      <c r="L35" s="1436">
        <v>2</v>
      </c>
      <c r="M35" s="1436">
        <v>8</v>
      </c>
      <c r="N35" s="1434">
        <v>43550</v>
      </c>
      <c r="O35" s="1024"/>
    </row>
    <row r="36" spans="1:15">
      <c r="A36" s="1433" t="s">
        <v>1573</v>
      </c>
      <c r="B36" s="1438" t="s">
        <v>942</v>
      </c>
      <c r="C36" s="1437">
        <v>43545</v>
      </c>
      <c r="D36" s="1437">
        <v>43545</v>
      </c>
      <c r="E36" s="1444" t="s">
        <v>177</v>
      </c>
      <c r="F36" s="1433" t="s">
        <v>719</v>
      </c>
      <c r="G36" s="1439" t="s">
        <v>916</v>
      </c>
      <c r="H36" s="1435">
        <v>1760</v>
      </c>
      <c r="I36" s="1440">
        <v>1760</v>
      </c>
      <c r="J36" s="1433"/>
      <c r="K36" s="1445" t="s">
        <v>917</v>
      </c>
      <c r="L36" s="1436">
        <v>6</v>
      </c>
      <c r="M36" s="1436">
        <v>42</v>
      </c>
      <c r="N36" s="1434">
        <v>43550</v>
      </c>
      <c r="O36" s="1024"/>
    </row>
    <row r="37" spans="1:15">
      <c r="A37" s="1433" t="s">
        <v>1573</v>
      </c>
      <c r="B37" s="1438" t="s">
        <v>942</v>
      </c>
      <c r="C37" s="1437">
        <v>43545</v>
      </c>
      <c r="D37" s="1437">
        <v>43545</v>
      </c>
      <c r="E37" s="1433" t="s">
        <v>159</v>
      </c>
      <c r="F37" s="1433" t="s">
        <v>719</v>
      </c>
      <c r="G37" s="1439" t="s">
        <v>918</v>
      </c>
      <c r="H37" s="1435">
        <v>42</v>
      </c>
      <c r="I37" s="1440">
        <v>42</v>
      </c>
      <c r="J37" s="1435"/>
      <c r="K37" s="1433" t="s">
        <v>917</v>
      </c>
      <c r="L37" s="1436">
        <v>2</v>
      </c>
      <c r="M37" s="1436">
        <v>8</v>
      </c>
      <c r="N37" s="1434">
        <v>43550</v>
      </c>
      <c r="O37" s="1024"/>
    </row>
    <row r="38" spans="1:15">
      <c r="A38" s="1453" t="s">
        <v>1578</v>
      </c>
      <c r="B38" s="1459" t="s">
        <v>939</v>
      </c>
      <c r="C38" s="1458">
        <v>43563</v>
      </c>
      <c r="D38" s="1458">
        <v>43563</v>
      </c>
      <c r="E38" s="1465" t="s">
        <v>177</v>
      </c>
      <c r="F38" s="1454" t="s">
        <v>719</v>
      </c>
      <c r="G38" s="1460" t="s">
        <v>916</v>
      </c>
      <c r="H38" s="1456">
        <v>667</v>
      </c>
      <c r="I38" s="1461">
        <v>667</v>
      </c>
      <c r="J38" s="1454"/>
      <c r="K38" s="1466" t="s">
        <v>917</v>
      </c>
      <c r="L38" s="1457">
        <v>6</v>
      </c>
      <c r="M38" s="1457">
        <v>42</v>
      </c>
      <c r="N38" s="1455">
        <v>43565</v>
      </c>
    </row>
    <row r="39" spans="1:15">
      <c r="A39" s="1453" t="s">
        <v>1578</v>
      </c>
      <c r="B39" s="1459" t="s">
        <v>939</v>
      </c>
      <c r="C39" s="1458">
        <v>43563</v>
      </c>
      <c r="D39" s="1458">
        <v>43563</v>
      </c>
      <c r="E39" s="1454" t="s">
        <v>159</v>
      </c>
      <c r="F39" s="1454" t="s">
        <v>719</v>
      </c>
      <c r="G39" s="1460" t="s">
        <v>918</v>
      </c>
      <c r="H39" s="1456">
        <v>96</v>
      </c>
      <c r="I39" s="1461">
        <v>96</v>
      </c>
      <c r="J39" s="1456"/>
      <c r="K39" s="1454" t="s">
        <v>917</v>
      </c>
      <c r="L39" s="1457">
        <v>2</v>
      </c>
      <c r="M39" s="1457">
        <v>8</v>
      </c>
      <c r="N39" s="1455">
        <v>43565</v>
      </c>
      <c r="O39" s="1024"/>
    </row>
    <row r="40" spans="1:15">
      <c r="A40" s="1463" t="s">
        <v>1579</v>
      </c>
      <c r="B40" s="1459" t="s">
        <v>940</v>
      </c>
      <c r="C40" s="1458">
        <v>43563</v>
      </c>
      <c r="D40" s="1458">
        <v>43563</v>
      </c>
      <c r="E40" s="1465" t="s">
        <v>177</v>
      </c>
      <c r="F40" s="1454" t="s">
        <v>719</v>
      </c>
      <c r="G40" s="1460" t="s">
        <v>916</v>
      </c>
      <c r="H40" s="1456">
        <v>824</v>
      </c>
      <c r="I40" s="1461">
        <v>824</v>
      </c>
      <c r="J40" s="1454"/>
      <c r="K40" s="1466" t="s">
        <v>917</v>
      </c>
      <c r="L40" s="1457">
        <v>6</v>
      </c>
      <c r="M40" s="1457">
        <v>42</v>
      </c>
      <c r="N40" s="1455">
        <v>43565</v>
      </c>
      <c r="O40" s="1024"/>
    </row>
    <row r="41" spans="1:15">
      <c r="A41" s="1453" t="s">
        <v>1579</v>
      </c>
      <c r="B41" s="1459" t="s">
        <v>940</v>
      </c>
      <c r="C41" s="1458">
        <v>43563</v>
      </c>
      <c r="D41" s="1458">
        <v>43563</v>
      </c>
      <c r="E41" s="1454" t="s">
        <v>159</v>
      </c>
      <c r="F41" s="1454" t="s">
        <v>719</v>
      </c>
      <c r="G41" s="1460" t="s">
        <v>918</v>
      </c>
      <c r="H41" s="1456">
        <v>19</v>
      </c>
      <c r="I41" s="1461">
        <v>19</v>
      </c>
      <c r="J41" s="1456"/>
      <c r="K41" s="1454" t="s">
        <v>917</v>
      </c>
      <c r="L41" s="1457">
        <v>2</v>
      </c>
      <c r="M41" s="1457">
        <v>8</v>
      </c>
      <c r="N41" s="1455">
        <v>43565</v>
      </c>
      <c r="O41" s="1024"/>
    </row>
    <row r="42" spans="1:15">
      <c r="A42" s="1454" t="s">
        <v>1580</v>
      </c>
      <c r="B42" s="1459">
        <v>45</v>
      </c>
      <c r="C42" s="1458">
        <v>43563</v>
      </c>
      <c r="D42" s="1458">
        <v>43563</v>
      </c>
      <c r="E42" s="1465" t="s">
        <v>177</v>
      </c>
      <c r="F42" s="1454" t="s">
        <v>719</v>
      </c>
      <c r="G42" s="1460" t="s">
        <v>916</v>
      </c>
      <c r="H42" s="1456">
        <v>799</v>
      </c>
      <c r="I42" s="1461">
        <v>799</v>
      </c>
      <c r="J42" s="1454"/>
      <c r="K42" s="1466" t="s">
        <v>917</v>
      </c>
      <c r="L42" s="1457">
        <v>6</v>
      </c>
      <c r="M42" s="1457">
        <v>42</v>
      </c>
      <c r="N42" s="1455">
        <v>43565</v>
      </c>
      <c r="O42" s="1024"/>
    </row>
    <row r="43" spans="1:15">
      <c r="A43" s="1463" t="s">
        <v>1580</v>
      </c>
      <c r="B43" s="1459">
        <v>45</v>
      </c>
      <c r="C43" s="1458">
        <v>43563</v>
      </c>
      <c r="D43" s="1458">
        <v>43563</v>
      </c>
      <c r="E43" s="1454" t="s">
        <v>159</v>
      </c>
      <c r="F43" s="1454" t="s">
        <v>719</v>
      </c>
      <c r="G43" s="1460" t="s">
        <v>918</v>
      </c>
      <c r="H43" s="1456">
        <v>49</v>
      </c>
      <c r="I43" s="1461">
        <v>49</v>
      </c>
      <c r="J43" s="1456"/>
      <c r="K43" s="1454" t="s">
        <v>917</v>
      </c>
      <c r="L43" s="1457">
        <v>2</v>
      </c>
      <c r="M43" s="1457">
        <v>8</v>
      </c>
      <c r="N43" s="1455">
        <v>43565</v>
      </c>
      <c r="O43" s="1024"/>
    </row>
    <row r="44" spans="1:15">
      <c r="A44" s="1454" t="s">
        <v>1581</v>
      </c>
      <c r="B44" s="1459">
        <v>90</v>
      </c>
      <c r="C44" s="1458">
        <v>43563</v>
      </c>
      <c r="D44" s="1458">
        <v>43563</v>
      </c>
      <c r="E44" s="1465" t="s">
        <v>177</v>
      </c>
      <c r="F44" s="1454" t="s">
        <v>719</v>
      </c>
      <c r="G44" s="1460" t="s">
        <v>916</v>
      </c>
      <c r="H44" s="1456">
        <v>884</v>
      </c>
      <c r="I44" s="1461">
        <v>884</v>
      </c>
      <c r="J44" s="1454"/>
      <c r="K44" s="1466" t="s">
        <v>917</v>
      </c>
      <c r="L44" s="1457">
        <v>6</v>
      </c>
      <c r="M44" s="1457">
        <v>42</v>
      </c>
      <c r="N44" s="1455">
        <v>43565</v>
      </c>
      <c r="O44" s="1024"/>
    </row>
    <row r="45" spans="1:15">
      <c r="A45" s="1454" t="s">
        <v>1581</v>
      </c>
      <c r="B45" s="1459">
        <v>90</v>
      </c>
      <c r="C45" s="1458">
        <v>43563</v>
      </c>
      <c r="D45" s="1458">
        <v>43563</v>
      </c>
      <c r="E45" s="1454" t="s">
        <v>159</v>
      </c>
      <c r="F45" s="1454" t="s">
        <v>719</v>
      </c>
      <c r="G45" s="1460" t="s">
        <v>918</v>
      </c>
      <c r="H45" s="1456">
        <v>71</v>
      </c>
      <c r="I45" s="1461">
        <v>71</v>
      </c>
      <c r="J45" s="1454"/>
      <c r="K45" s="1454" t="s">
        <v>917</v>
      </c>
      <c r="L45" s="1457">
        <v>2</v>
      </c>
      <c r="M45" s="1457">
        <v>8</v>
      </c>
      <c r="N45" s="1455">
        <v>43565</v>
      </c>
      <c r="O45" s="1024"/>
    </row>
    <row r="46" spans="1:15">
      <c r="A46" s="1463" t="s">
        <v>1582</v>
      </c>
      <c r="B46" s="1464" t="s">
        <v>941</v>
      </c>
      <c r="C46" s="1458">
        <v>43563</v>
      </c>
      <c r="D46" s="1458">
        <v>43563</v>
      </c>
      <c r="E46" s="1465" t="s">
        <v>177</v>
      </c>
      <c r="F46" s="1454" t="s">
        <v>719</v>
      </c>
      <c r="G46" s="1460" t="s">
        <v>916</v>
      </c>
      <c r="H46" s="1456">
        <v>955</v>
      </c>
      <c r="I46" s="1461">
        <v>955</v>
      </c>
      <c r="J46" s="1454"/>
      <c r="K46" s="1466" t="s">
        <v>917</v>
      </c>
      <c r="L46" s="1457">
        <v>6</v>
      </c>
      <c r="M46" s="1457">
        <v>42</v>
      </c>
      <c r="N46" s="1455">
        <v>43565</v>
      </c>
      <c r="O46" s="1024"/>
    </row>
    <row r="47" spans="1:15">
      <c r="A47" s="1463" t="s">
        <v>1582</v>
      </c>
      <c r="B47" s="1464" t="s">
        <v>941</v>
      </c>
      <c r="C47" s="1458">
        <v>43563</v>
      </c>
      <c r="D47" s="1458">
        <v>43563</v>
      </c>
      <c r="E47" s="1454" t="s">
        <v>159</v>
      </c>
      <c r="F47" s="1454" t="s">
        <v>719</v>
      </c>
      <c r="G47" s="1460" t="s">
        <v>918</v>
      </c>
      <c r="H47" s="1456">
        <v>58</v>
      </c>
      <c r="I47" s="1461">
        <v>58</v>
      </c>
      <c r="J47" s="1456"/>
      <c r="K47" s="1454" t="s">
        <v>917</v>
      </c>
      <c r="L47" s="1457">
        <v>2</v>
      </c>
      <c r="M47" s="1457">
        <v>8</v>
      </c>
      <c r="N47" s="1455">
        <v>43565</v>
      </c>
      <c r="O47" s="1024"/>
    </row>
    <row r="48" spans="1:15">
      <c r="A48" s="1454" t="s">
        <v>1583</v>
      </c>
      <c r="B48" s="1459" t="s">
        <v>942</v>
      </c>
      <c r="C48" s="1458">
        <v>43563</v>
      </c>
      <c r="D48" s="1458">
        <v>43563</v>
      </c>
      <c r="E48" s="1465" t="s">
        <v>177</v>
      </c>
      <c r="F48" s="1454" t="s">
        <v>719</v>
      </c>
      <c r="G48" s="1460" t="s">
        <v>916</v>
      </c>
      <c r="H48" s="1456">
        <v>1096</v>
      </c>
      <c r="I48" s="1461">
        <v>1096</v>
      </c>
      <c r="J48" s="1454"/>
      <c r="K48" s="1466" t="s">
        <v>917</v>
      </c>
      <c r="L48" s="1457">
        <v>6</v>
      </c>
      <c r="M48" s="1457">
        <v>42</v>
      </c>
      <c r="N48" s="1455">
        <v>43565</v>
      </c>
      <c r="O48" s="1024"/>
    </row>
    <row r="49" spans="1:15">
      <c r="A49" s="1454" t="s">
        <v>1583</v>
      </c>
      <c r="B49" s="1459" t="s">
        <v>942</v>
      </c>
      <c r="C49" s="1458">
        <v>43563</v>
      </c>
      <c r="D49" s="1458">
        <v>43563</v>
      </c>
      <c r="E49" s="1454" t="s">
        <v>159</v>
      </c>
      <c r="F49" s="1454" t="s">
        <v>719</v>
      </c>
      <c r="G49" s="1460" t="s">
        <v>918</v>
      </c>
      <c r="H49" s="1456">
        <v>93</v>
      </c>
      <c r="I49" s="1461">
        <v>93</v>
      </c>
      <c r="J49" s="1456"/>
      <c r="K49" s="1454" t="s">
        <v>917</v>
      </c>
      <c r="L49" s="1457">
        <v>2</v>
      </c>
      <c r="M49" s="1457">
        <v>8</v>
      </c>
      <c r="N49" s="1455">
        <v>43565</v>
      </c>
      <c r="O49" s="1024"/>
    </row>
    <row r="50" spans="1:15" ht="11.5" customHeight="1">
      <c r="A50" s="1474" t="s">
        <v>1590</v>
      </c>
      <c r="B50" s="1480" t="s">
        <v>939</v>
      </c>
      <c r="C50" s="1479">
        <v>43591</v>
      </c>
      <c r="D50" s="1479">
        <v>43591</v>
      </c>
      <c r="E50" s="1486" t="s">
        <v>177</v>
      </c>
      <c r="F50" s="1475" t="s">
        <v>719</v>
      </c>
      <c r="G50" s="1481" t="s">
        <v>916</v>
      </c>
      <c r="H50" s="1477">
        <v>625</v>
      </c>
      <c r="I50" s="1482">
        <v>625</v>
      </c>
      <c r="J50" s="1475"/>
      <c r="K50" s="1487" t="s">
        <v>917</v>
      </c>
      <c r="L50" s="1478">
        <v>26</v>
      </c>
      <c r="M50" s="1478">
        <v>104</v>
      </c>
      <c r="N50" s="1476">
        <v>43601</v>
      </c>
      <c r="O50" s="1024"/>
    </row>
    <row r="51" spans="1:15">
      <c r="A51" s="1474" t="s">
        <v>1590</v>
      </c>
      <c r="B51" s="1480" t="s">
        <v>939</v>
      </c>
      <c r="C51" s="1479">
        <v>43591</v>
      </c>
      <c r="D51" s="1479">
        <v>43591</v>
      </c>
      <c r="E51" s="1475" t="s">
        <v>159</v>
      </c>
      <c r="F51" s="1475" t="s">
        <v>719</v>
      </c>
      <c r="G51" s="1481" t="s">
        <v>918</v>
      </c>
      <c r="H51" s="1477">
        <v>7</v>
      </c>
      <c r="I51" s="1482">
        <v>7</v>
      </c>
      <c r="J51" s="1477" t="s">
        <v>926</v>
      </c>
      <c r="K51" s="1475" t="s">
        <v>917</v>
      </c>
      <c r="L51" s="1478">
        <v>6</v>
      </c>
      <c r="M51" s="1478">
        <v>24</v>
      </c>
      <c r="N51" s="1476">
        <v>43601</v>
      </c>
      <c r="O51" s="1024"/>
    </row>
    <row r="52" spans="1:15">
      <c r="A52" s="1484" t="s">
        <v>1591</v>
      </c>
      <c r="B52" s="1480" t="s">
        <v>940</v>
      </c>
      <c r="C52" s="1479">
        <v>43591</v>
      </c>
      <c r="D52" s="1479">
        <v>43591</v>
      </c>
      <c r="E52" s="1486" t="s">
        <v>177</v>
      </c>
      <c r="F52" s="1475" t="s">
        <v>719</v>
      </c>
      <c r="G52" s="1481" t="s">
        <v>916</v>
      </c>
      <c r="H52" s="1477">
        <v>674</v>
      </c>
      <c r="I52" s="1482">
        <v>674</v>
      </c>
      <c r="J52" s="1475"/>
      <c r="K52" s="1487" t="s">
        <v>917</v>
      </c>
      <c r="L52" s="1478">
        <v>26</v>
      </c>
      <c r="M52" s="1478">
        <v>104</v>
      </c>
      <c r="N52" s="1476">
        <v>43601</v>
      </c>
    </row>
    <row r="53" spans="1:15">
      <c r="A53" s="1474" t="s">
        <v>1591</v>
      </c>
      <c r="B53" s="1480" t="s">
        <v>940</v>
      </c>
      <c r="C53" s="1479">
        <v>43591</v>
      </c>
      <c r="D53" s="1479">
        <v>43591</v>
      </c>
      <c r="E53" s="1475" t="s">
        <v>159</v>
      </c>
      <c r="F53" s="1475" t="s">
        <v>719</v>
      </c>
      <c r="G53" s="1481" t="s">
        <v>918</v>
      </c>
      <c r="H53" s="1477">
        <v>25</v>
      </c>
      <c r="I53" s="1482">
        <v>25</v>
      </c>
      <c r="J53" s="1477"/>
      <c r="K53" s="1475" t="s">
        <v>917</v>
      </c>
      <c r="L53" s="1478">
        <v>6</v>
      </c>
      <c r="M53" s="1478">
        <v>24</v>
      </c>
      <c r="N53" s="1476">
        <v>43601</v>
      </c>
      <c r="O53" s="1024"/>
    </row>
    <row r="54" spans="1:15">
      <c r="A54" s="1475" t="s">
        <v>1592</v>
      </c>
      <c r="B54" s="1480">
        <v>45</v>
      </c>
      <c r="C54" s="1479">
        <v>43591</v>
      </c>
      <c r="D54" s="1479">
        <v>43591</v>
      </c>
      <c r="E54" s="1486" t="s">
        <v>177</v>
      </c>
      <c r="F54" s="1475" t="s">
        <v>719</v>
      </c>
      <c r="G54" s="1481" t="s">
        <v>916</v>
      </c>
      <c r="H54" s="1477">
        <v>811</v>
      </c>
      <c r="I54" s="1482">
        <v>811</v>
      </c>
      <c r="J54" s="1475"/>
      <c r="K54" s="1487" t="s">
        <v>917</v>
      </c>
      <c r="L54" s="1478">
        <v>26</v>
      </c>
      <c r="M54" s="1478">
        <v>104</v>
      </c>
      <c r="N54" s="1476">
        <v>43601</v>
      </c>
      <c r="O54" s="1024"/>
    </row>
    <row r="55" spans="1:15">
      <c r="A55" s="1484" t="s">
        <v>1592</v>
      </c>
      <c r="B55" s="1480">
        <v>45</v>
      </c>
      <c r="C55" s="1479">
        <v>43591</v>
      </c>
      <c r="D55" s="1479">
        <v>43591</v>
      </c>
      <c r="E55" s="1475" t="s">
        <v>159</v>
      </c>
      <c r="F55" s="1475" t="s">
        <v>719</v>
      </c>
      <c r="G55" s="1481" t="s">
        <v>918</v>
      </c>
      <c r="H55" s="1477">
        <v>28</v>
      </c>
      <c r="I55" s="1482">
        <v>28</v>
      </c>
      <c r="J55" s="1477"/>
      <c r="K55" s="1475" t="s">
        <v>917</v>
      </c>
      <c r="L55" s="1478">
        <v>6</v>
      </c>
      <c r="M55" s="1478">
        <v>24</v>
      </c>
      <c r="N55" s="1476">
        <v>43601</v>
      </c>
      <c r="O55" s="1024"/>
    </row>
    <row r="56" spans="1:15">
      <c r="A56" s="1475" t="s">
        <v>1593</v>
      </c>
      <c r="B56" s="1480">
        <v>90</v>
      </c>
      <c r="C56" s="1479">
        <v>43591</v>
      </c>
      <c r="D56" s="1479">
        <v>43591</v>
      </c>
      <c r="E56" s="1486" t="s">
        <v>177</v>
      </c>
      <c r="F56" s="1475" t="s">
        <v>719</v>
      </c>
      <c r="G56" s="1481" t="s">
        <v>916</v>
      </c>
      <c r="H56" s="1477">
        <v>624</v>
      </c>
      <c r="I56" s="1482">
        <v>624</v>
      </c>
      <c r="J56" s="1475"/>
      <c r="K56" s="1487" t="s">
        <v>917</v>
      </c>
      <c r="L56" s="1478">
        <v>26</v>
      </c>
      <c r="M56" s="1478">
        <v>104</v>
      </c>
      <c r="N56" s="1476">
        <v>43601</v>
      </c>
      <c r="O56" s="1024"/>
    </row>
    <row r="57" spans="1:15">
      <c r="A57" s="1475" t="s">
        <v>1593</v>
      </c>
      <c r="B57" s="1480">
        <v>90</v>
      </c>
      <c r="C57" s="1479">
        <v>43591</v>
      </c>
      <c r="D57" s="1479">
        <v>43591</v>
      </c>
      <c r="E57" s="1475" t="s">
        <v>159</v>
      </c>
      <c r="F57" s="1475" t="s">
        <v>719</v>
      </c>
      <c r="G57" s="1481" t="s">
        <v>918</v>
      </c>
      <c r="H57" s="1477">
        <v>17</v>
      </c>
      <c r="I57" s="1482">
        <v>17</v>
      </c>
      <c r="J57" s="1477" t="s">
        <v>926</v>
      </c>
      <c r="K57" s="1475" t="s">
        <v>917</v>
      </c>
      <c r="L57" s="1478">
        <v>6</v>
      </c>
      <c r="M57" s="1478">
        <v>24</v>
      </c>
      <c r="N57" s="1476">
        <v>43601</v>
      </c>
      <c r="O57" s="1024"/>
    </row>
    <row r="58" spans="1:15">
      <c r="A58" s="1484" t="s">
        <v>1594</v>
      </c>
      <c r="B58" s="1485" t="s">
        <v>941</v>
      </c>
      <c r="C58" s="1479">
        <v>43591</v>
      </c>
      <c r="D58" s="1479">
        <v>43591</v>
      </c>
      <c r="E58" s="1486" t="s">
        <v>177</v>
      </c>
      <c r="F58" s="1475" t="s">
        <v>719</v>
      </c>
      <c r="G58" s="1481" t="s">
        <v>916</v>
      </c>
      <c r="H58" s="1477">
        <v>737</v>
      </c>
      <c r="I58" s="1482">
        <v>737</v>
      </c>
      <c r="J58" s="1475"/>
      <c r="K58" s="1487" t="s">
        <v>917</v>
      </c>
      <c r="L58" s="1478">
        <v>26</v>
      </c>
      <c r="M58" s="1478">
        <v>104</v>
      </c>
      <c r="N58" s="1476">
        <v>43601</v>
      </c>
      <c r="O58" s="1024"/>
    </row>
    <row r="59" spans="1:15">
      <c r="A59" s="1484" t="s">
        <v>1594</v>
      </c>
      <c r="B59" s="1485" t="s">
        <v>941</v>
      </c>
      <c r="C59" s="1479">
        <v>43591</v>
      </c>
      <c r="D59" s="1479">
        <v>43591</v>
      </c>
      <c r="E59" s="1475" t="s">
        <v>159</v>
      </c>
      <c r="F59" s="1475" t="s">
        <v>719</v>
      </c>
      <c r="G59" s="1481" t="s">
        <v>918</v>
      </c>
      <c r="H59" s="1477">
        <v>18</v>
      </c>
      <c r="I59" s="1482">
        <v>18</v>
      </c>
      <c r="J59" s="1477" t="s">
        <v>926</v>
      </c>
      <c r="K59" s="1475" t="s">
        <v>917</v>
      </c>
      <c r="L59" s="1478">
        <v>6</v>
      </c>
      <c r="M59" s="1478">
        <v>24</v>
      </c>
      <c r="N59" s="1476">
        <v>43601</v>
      </c>
      <c r="O59" s="1024"/>
    </row>
    <row r="60" spans="1:15">
      <c r="A60" s="1475" t="s">
        <v>1595</v>
      </c>
      <c r="B60" s="1480" t="s">
        <v>942</v>
      </c>
      <c r="C60" s="1479">
        <v>43591</v>
      </c>
      <c r="D60" s="1479">
        <v>43591</v>
      </c>
      <c r="E60" s="1486" t="s">
        <v>177</v>
      </c>
      <c r="F60" s="1475" t="s">
        <v>719</v>
      </c>
      <c r="G60" s="1481" t="s">
        <v>916</v>
      </c>
      <c r="H60" s="1477">
        <v>755</v>
      </c>
      <c r="I60" s="1482">
        <v>755</v>
      </c>
      <c r="J60" s="1475"/>
      <c r="K60" s="1487" t="s">
        <v>917</v>
      </c>
      <c r="L60" s="1478">
        <v>26</v>
      </c>
      <c r="M60" s="1478">
        <v>104</v>
      </c>
      <c r="N60" s="1476">
        <v>43601</v>
      </c>
      <c r="O60" s="1024"/>
    </row>
    <row r="61" spans="1:15">
      <c r="A61" s="1475" t="s">
        <v>1595</v>
      </c>
      <c r="B61" s="1480" t="s">
        <v>942</v>
      </c>
      <c r="C61" s="1479">
        <v>43591</v>
      </c>
      <c r="D61" s="1479">
        <v>43591</v>
      </c>
      <c r="E61" s="1475" t="s">
        <v>159</v>
      </c>
      <c r="F61" s="1475" t="s">
        <v>719</v>
      </c>
      <c r="G61" s="1481" t="s">
        <v>918</v>
      </c>
      <c r="H61" s="1477">
        <v>25</v>
      </c>
      <c r="I61" s="1482">
        <v>25</v>
      </c>
      <c r="J61" s="1477"/>
      <c r="K61" s="1475" t="s">
        <v>917</v>
      </c>
      <c r="L61" s="1478">
        <v>6</v>
      </c>
      <c r="M61" s="1478">
        <v>24</v>
      </c>
      <c r="N61" s="1476">
        <v>43601</v>
      </c>
      <c r="O61" s="1024"/>
    </row>
    <row r="62" spans="1:15">
      <c r="A62" s="1495" t="s">
        <v>1600</v>
      </c>
      <c r="B62" s="1501" t="s">
        <v>939</v>
      </c>
      <c r="C62" s="1500">
        <v>43626</v>
      </c>
      <c r="D62" s="1500">
        <v>43626</v>
      </c>
      <c r="E62" s="1507" t="s">
        <v>177</v>
      </c>
      <c r="F62" s="1496" t="s">
        <v>719</v>
      </c>
      <c r="G62" s="1502" t="s">
        <v>916</v>
      </c>
      <c r="H62" s="1498">
        <v>463</v>
      </c>
      <c r="I62" s="1503">
        <v>463</v>
      </c>
      <c r="J62" s="1496"/>
      <c r="K62" s="1508" t="s">
        <v>917</v>
      </c>
      <c r="L62" s="1499">
        <v>26</v>
      </c>
      <c r="M62" s="1499">
        <v>104</v>
      </c>
      <c r="N62" s="1497">
        <v>43636</v>
      </c>
      <c r="O62" s="1024"/>
    </row>
    <row r="63" spans="1:15">
      <c r="A63" s="1495" t="s">
        <v>1600</v>
      </c>
      <c r="B63" s="1501" t="s">
        <v>939</v>
      </c>
      <c r="C63" s="1500">
        <v>43626</v>
      </c>
      <c r="D63" s="1500">
        <v>43626</v>
      </c>
      <c r="E63" s="1496" t="s">
        <v>159</v>
      </c>
      <c r="F63" s="1496" t="s">
        <v>719</v>
      </c>
      <c r="G63" s="1502" t="s">
        <v>918</v>
      </c>
      <c r="H63" s="1498">
        <v>28</v>
      </c>
      <c r="I63" s="1503">
        <v>28</v>
      </c>
      <c r="J63" s="1498"/>
      <c r="K63" s="1496" t="s">
        <v>917</v>
      </c>
      <c r="L63" s="1499">
        <v>6</v>
      </c>
      <c r="M63" s="1499">
        <v>24</v>
      </c>
      <c r="N63" s="1497">
        <v>43636</v>
      </c>
      <c r="O63" s="1024"/>
    </row>
    <row r="64" spans="1:15">
      <c r="A64" s="1505" t="s">
        <v>1601</v>
      </c>
      <c r="B64" s="1501" t="s">
        <v>940</v>
      </c>
      <c r="C64" s="1500">
        <v>43626</v>
      </c>
      <c r="D64" s="1500">
        <v>43626</v>
      </c>
      <c r="E64" s="1507" t="s">
        <v>177</v>
      </c>
      <c r="F64" s="1496" t="s">
        <v>719</v>
      </c>
      <c r="G64" s="1502" t="s">
        <v>916</v>
      </c>
      <c r="H64" s="1498">
        <v>446</v>
      </c>
      <c r="I64" s="1503">
        <v>446</v>
      </c>
      <c r="J64" s="1496"/>
      <c r="K64" s="1508" t="s">
        <v>917</v>
      </c>
      <c r="L64" s="1499">
        <v>26</v>
      </c>
      <c r="M64" s="1499">
        <v>104</v>
      </c>
      <c r="N64" s="1497">
        <v>43636</v>
      </c>
      <c r="O64" s="1024"/>
    </row>
    <row r="65" spans="1:15">
      <c r="A65" s="1495" t="s">
        <v>1601</v>
      </c>
      <c r="B65" s="1501" t="s">
        <v>940</v>
      </c>
      <c r="C65" s="1500">
        <v>43626</v>
      </c>
      <c r="D65" s="1500">
        <v>43626</v>
      </c>
      <c r="E65" s="1496" t="s">
        <v>159</v>
      </c>
      <c r="F65" s="1496" t="s">
        <v>719</v>
      </c>
      <c r="G65" s="1502" t="s">
        <v>918</v>
      </c>
      <c r="H65" s="1498">
        <v>50</v>
      </c>
      <c r="I65" s="1503">
        <v>50</v>
      </c>
      <c r="J65" s="1498"/>
      <c r="K65" s="1496" t="s">
        <v>917</v>
      </c>
      <c r="L65" s="1499">
        <v>6</v>
      </c>
      <c r="M65" s="1499">
        <v>24</v>
      </c>
      <c r="N65" s="1497">
        <v>43636</v>
      </c>
      <c r="O65" s="1024"/>
    </row>
    <row r="66" spans="1:15">
      <c r="A66" s="1496" t="s">
        <v>1602</v>
      </c>
      <c r="B66" s="1501">
        <v>45</v>
      </c>
      <c r="C66" s="1500">
        <v>43626</v>
      </c>
      <c r="D66" s="1500">
        <v>43626</v>
      </c>
      <c r="E66" s="1507" t="s">
        <v>177</v>
      </c>
      <c r="F66" s="1496" t="s">
        <v>719</v>
      </c>
      <c r="G66" s="1502" t="s">
        <v>916</v>
      </c>
      <c r="H66" s="1498">
        <v>521</v>
      </c>
      <c r="I66" s="1503">
        <v>521</v>
      </c>
      <c r="J66" s="1496"/>
      <c r="K66" s="1508" t="s">
        <v>917</v>
      </c>
      <c r="L66" s="1499">
        <v>26</v>
      </c>
      <c r="M66" s="1499">
        <v>104</v>
      </c>
      <c r="N66" s="1497">
        <v>43636</v>
      </c>
      <c r="O66" s="1024"/>
    </row>
    <row r="67" spans="1:15">
      <c r="A67" s="1505" t="s">
        <v>1602</v>
      </c>
      <c r="B67" s="1501">
        <v>45</v>
      </c>
      <c r="C67" s="1500">
        <v>43626</v>
      </c>
      <c r="D67" s="1500">
        <v>43626</v>
      </c>
      <c r="E67" s="1496" t="s">
        <v>159</v>
      </c>
      <c r="F67" s="1496" t="s">
        <v>719</v>
      </c>
      <c r="G67" s="1502" t="s">
        <v>918</v>
      </c>
      <c r="H67" s="1498">
        <v>24</v>
      </c>
      <c r="I67" s="1503">
        <v>24</v>
      </c>
      <c r="J67" s="1498" t="s">
        <v>926</v>
      </c>
      <c r="K67" s="1496" t="s">
        <v>917</v>
      </c>
      <c r="L67" s="1499">
        <v>6</v>
      </c>
      <c r="M67" s="1499">
        <v>24</v>
      </c>
      <c r="N67" s="1497">
        <v>43636</v>
      </c>
      <c r="O67" s="1024"/>
    </row>
    <row r="68" spans="1:15">
      <c r="A68" s="1496" t="s">
        <v>1603</v>
      </c>
      <c r="B68" s="1501">
        <v>90</v>
      </c>
      <c r="C68" s="1500">
        <v>43626</v>
      </c>
      <c r="D68" s="1500">
        <v>43626</v>
      </c>
      <c r="E68" s="1507" t="s">
        <v>177</v>
      </c>
      <c r="F68" s="1496" t="s">
        <v>719</v>
      </c>
      <c r="G68" s="1502" t="s">
        <v>916</v>
      </c>
      <c r="H68" s="1498">
        <v>522</v>
      </c>
      <c r="I68" s="1503">
        <v>522</v>
      </c>
      <c r="J68" s="1496"/>
      <c r="K68" s="1508" t="s">
        <v>917</v>
      </c>
      <c r="L68" s="1499">
        <v>26</v>
      </c>
      <c r="M68" s="1499">
        <v>104</v>
      </c>
      <c r="N68" s="1497">
        <v>43636</v>
      </c>
      <c r="O68" s="1024"/>
    </row>
    <row r="69" spans="1:15">
      <c r="A69" s="1496" t="s">
        <v>1603</v>
      </c>
      <c r="B69" s="1501">
        <v>90</v>
      </c>
      <c r="C69" s="1500">
        <v>43626</v>
      </c>
      <c r="D69" s="1500">
        <v>43626</v>
      </c>
      <c r="E69" s="1496" t="s">
        <v>159</v>
      </c>
      <c r="F69" s="1496" t="s">
        <v>719</v>
      </c>
      <c r="G69" s="1502" t="s">
        <v>918</v>
      </c>
      <c r="H69" s="1498">
        <v>35</v>
      </c>
      <c r="I69" s="1503">
        <v>35</v>
      </c>
      <c r="J69" s="1496"/>
      <c r="K69" s="1496" t="s">
        <v>917</v>
      </c>
      <c r="L69" s="1499">
        <v>6</v>
      </c>
      <c r="M69" s="1499">
        <v>24</v>
      </c>
      <c r="N69" s="1497">
        <v>43636</v>
      </c>
    </row>
    <row r="70" spans="1:15">
      <c r="A70" s="1505" t="s">
        <v>1604</v>
      </c>
      <c r="B70" s="1506" t="s">
        <v>941</v>
      </c>
      <c r="C70" s="1500">
        <v>43626</v>
      </c>
      <c r="D70" s="1500">
        <v>43626</v>
      </c>
      <c r="E70" s="1507" t="s">
        <v>177</v>
      </c>
      <c r="F70" s="1496" t="s">
        <v>719</v>
      </c>
      <c r="G70" s="1502" t="s">
        <v>916</v>
      </c>
      <c r="H70" s="1498">
        <v>516</v>
      </c>
      <c r="I70" s="1503">
        <v>516</v>
      </c>
      <c r="J70" s="1496"/>
      <c r="K70" s="1508" t="s">
        <v>917</v>
      </c>
      <c r="L70" s="1499">
        <v>26</v>
      </c>
      <c r="M70" s="1499">
        <v>104</v>
      </c>
      <c r="N70" s="1497">
        <v>43636</v>
      </c>
      <c r="O70" s="1024"/>
    </row>
    <row r="71" spans="1:15">
      <c r="A71" s="1505" t="s">
        <v>1604</v>
      </c>
      <c r="B71" s="1506" t="s">
        <v>941</v>
      </c>
      <c r="C71" s="1500">
        <v>43626</v>
      </c>
      <c r="D71" s="1500">
        <v>43626</v>
      </c>
      <c r="E71" s="1496" t="s">
        <v>159</v>
      </c>
      <c r="F71" s="1496" t="s">
        <v>719</v>
      </c>
      <c r="G71" s="1502" t="s">
        <v>918</v>
      </c>
      <c r="H71" s="1498">
        <v>31</v>
      </c>
      <c r="I71" s="1503">
        <v>31</v>
      </c>
      <c r="J71" s="1498"/>
      <c r="K71" s="1496" t="s">
        <v>917</v>
      </c>
      <c r="L71" s="1499">
        <v>6</v>
      </c>
      <c r="M71" s="1499">
        <v>24</v>
      </c>
      <c r="N71" s="1497">
        <v>43636</v>
      </c>
      <c r="O71" s="1024"/>
    </row>
    <row r="72" spans="1:15">
      <c r="A72" s="1496" t="s">
        <v>1605</v>
      </c>
      <c r="B72" s="1501" t="s">
        <v>942</v>
      </c>
      <c r="C72" s="1500">
        <v>43626</v>
      </c>
      <c r="D72" s="1500">
        <v>43626</v>
      </c>
      <c r="E72" s="1507" t="s">
        <v>177</v>
      </c>
      <c r="F72" s="1496" t="s">
        <v>719</v>
      </c>
      <c r="G72" s="1502" t="s">
        <v>916</v>
      </c>
      <c r="H72" s="1498">
        <v>735</v>
      </c>
      <c r="I72" s="1503">
        <v>735</v>
      </c>
      <c r="J72" s="1496"/>
      <c r="K72" s="1508" t="s">
        <v>917</v>
      </c>
      <c r="L72" s="1499">
        <v>26</v>
      </c>
      <c r="M72" s="1499">
        <v>104</v>
      </c>
      <c r="N72" s="1497">
        <v>43636</v>
      </c>
      <c r="O72" s="1024"/>
    </row>
    <row r="73" spans="1:15">
      <c r="A73" s="1496" t="s">
        <v>1605</v>
      </c>
      <c r="B73" s="1501" t="s">
        <v>942</v>
      </c>
      <c r="C73" s="1500">
        <v>43626</v>
      </c>
      <c r="D73" s="1500">
        <v>43626</v>
      </c>
      <c r="E73" s="1496" t="s">
        <v>159</v>
      </c>
      <c r="F73" s="1496" t="s">
        <v>719</v>
      </c>
      <c r="G73" s="1502" t="s">
        <v>918</v>
      </c>
      <c r="H73" s="1498">
        <v>48</v>
      </c>
      <c r="I73" s="1503">
        <v>48</v>
      </c>
      <c r="J73" s="1498"/>
      <c r="K73" s="1496" t="s">
        <v>917</v>
      </c>
      <c r="L73" s="1499">
        <v>6</v>
      </c>
      <c r="M73" s="1499">
        <v>24</v>
      </c>
      <c r="N73" s="1497">
        <v>43636</v>
      </c>
      <c r="O73" s="1024"/>
    </row>
    <row r="74" spans="1:15">
      <c r="A74" s="1516" t="s">
        <v>1612</v>
      </c>
      <c r="B74" s="1522" t="s">
        <v>939</v>
      </c>
      <c r="C74" s="1521">
        <v>43661</v>
      </c>
      <c r="D74" s="1521">
        <v>43661</v>
      </c>
      <c r="E74" s="1528" t="s">
        <v>177</v>
      </c>
      <c r="F74" s="1517" t="s">
        <v>719</v>
      </c>
      <c r="G74" s="1523" t="s">
        <v>916</v>
      </c>
      <c r="H74" s="1519">
        <v>679</v>
      </c>
      <c r="I74" s="1524">
        <v>679</v>
      </c>
      <c r="J74" s="1517"/>
      <c r="K74" s="1529" t="s">
        <v>917</v>
      </c>
      <c r="L74" s="1520">
        <v>26</v>
      </c>
      <c r="M74" s="1520">
        <v>104</v>
      </c>
      <c r="N74" s="1518">
        <v>43679</v>
      </c>
      <c r="O74" s="1024"/>
    </row>
    <row r="75" spans="1:15">
      <c r="A75" s="1516" t="s">
        <v>1612</v>
      </c>
      <c r="B75" s="1522" t="s">
        <v>939</v>
      </c>
      <c r="C75" s="1521">
        <v>43661</v>
      </c>
      <c r="D75" s="1521">
        <v>43661</v>
      </c>
      <c r="E75" s="1517" t="s">
        <v>159</v>
      </c>
      <c r="F75" s="1517" t="s">
        <v>719</v>
      </c>
      <c r="G75" s="1523" t="s">
        <v>918</v>
      </c>
      <c r="H75" s="1519">
        <v>15</v>
      </c>
      <c r="I75" s="1524">
        <v>15</v>
      </c>
      <c r="J75" s="1519" t="s">
        <v>926</v>
      </c>
      <c r="K75" s="1517" t="s">
        <v>917</v>
      </c>
      <c r="L75" s="1520">
        <v>6</v>
      </c>
      <c r="M75" s="1520">
        <v>24</v>
      </c>
      <c r="N75" s="1518">
        <v>43679</v>
      </c>
      <c r="O75" s="1024"/>
    </row>
    <row r="76" spans="1:15">
      <c r="A76" s="1526" t="s">
        <v>1613</v>
      </c>
      <c r="B76" s="1522" t="s">
        <v>940</v>
      </c>
      <c r="C76" s="1521">
        <v>43661</v>
      </c>
      <c r="D76" s="1521">
        <v>43661</v>
      </c>
      <c r="E76" s="1528" t="s">
        <v>177</v>
      </c>
      <c r="F76" s="1517" t="s">
        <v>719</v>
      </c>
      <c r="G76" s="1523" t="s">
        <v>916</v>
      </c>
      <c r="H76" s="1519">
        <v>401</v>
      </c>
      <c r="I76" s="1524">
        <v>401</v>
      </c>
      <c r="J76" s="1517"/>
      <c r="K76" s="1529" t="s">
        <v>917</v>
      </c>
      <c r="L76" s="1520">
        <v>26</v>
      </c>
      <c r="M76" s="1520">
        <v>104</v>
      </c>
      <c r="N76" s="1518">
        <v>43679</v>
      </c>
      <c r="O76" s="1024"/>
    </row>
    <row r="77" spans="1:15">
      <c r="A77" s="1516" t="s">
        <v>1613</v>
      </c>
      <c r="B77" s="1522" t="s">
        <v>940</v>
      </c>
      <c r="C77" s="1521">
        <v>43661</v>
      </c>
      <c r="D77" s="1521">
        <v>43661</v>
      </c>
      <c r="E77" s="1517" t="s">
        <v>159</v>
      </c>
      <c r="F77" s="1517" t="s">
        <v>719</v>
      </c>
      <c r="G77" s="1523" t="s">
        <v>918</v>
      </c>
      <c r="H77" s="1519">
        <v>41</v>
      </c>
      <c r="I77" s="1524">
        <v>41</v>
      </c>
      <c r="J77" s="1519"/>
      <c r="K77" s="1517" t="s">
        <v>917</v>
      </c>
      <c r="L77" s="1520">
        <v>6</v>
      </c>
      <c r="M77" s="1520">
        <v>24</v>
      </c>
      <c r="N77" s="1518">
        <v>43679</v>
      </c>
      <c r="O77" s="1024"/>
    </row>
    <row r="78" spans="1:15">
      <c r="A78" s="1517" t="s">
        <v>1614</v>
      </c>
      <c r="B78" s="1522">
        <v>45</v>
      </c>
      <c r="C78" s="1521">
        <v>43661</v>
      </c>
      <c r="D78" s="1521">
        <v>43661</v>
      </c>
      <c r="E78" s="1528" t="s">
        <v>177</v>
      </c>
      <c r="F78" s="1517" t="s">
        <v>719</v>
      </c>
      <c r="G78" s="1523" t="s">
        <v>916</v>
      </c>
      <c r="H78" s="1519">
        <v>374</v>
      </c>
      <c r="I78" s="1524">
        <v>374</v>
      </c>
      <c r="J78" s="1517"/>
      <c r="K78" s="1529" t="s">
        <v>917</v>
      </c>
      <c r="L78" s="1520">
        <v>26</v>
      </c>
      <c r="M78" s="1520">
        <v>104</v>
      </c>
      <c r="N78" s="1518">
        <v>43679</v>
      </c>
      <c r="O78" s="1024"/>
    </row>
    <row r="79" spans="1:15">
      <c r="A79" s="1526" t="s">
        <v>1614</v>
      </c>
      <c r="B79" s="1522">
        <v>45</v>
      </c>
      <c r="C79" s="1521">
        <v>43661</v>
      </c>
      <c r="D79" s="1521">
        <v>43661</v>
      </c>
      <c r="E79" s="1517" t="s">
        <v>159</v>
      </c>
      <c r="F79" s="1517" t="s">
        <v>719</v>
      </c>
      <c r="G79" s="1523" t="s">
        <v>918</v>
      </c>
      <c r="H79" s="1519">
        <v>24</v>
      </c>
      <c r="I79" s="1524">
        <v>24</v>
      </c>
      <c r="J79" s="1519" t="s">
        <v>926</v>
      </c>
      <c r="K79" s="1517" t="s">
        <v>917</v>
      </c>
      <c r="L79" s="1520">
        <v>6</v>
      </c>
      <c r="M79" s="1520">
        <v>24</v>
      </c>
      <c r="N79" s="1518">
        <v>43679</v>
      </c>
      <c r="O79" s="1024"/>
    </row>
    <row r="80" spans="1:15">
      <c r="A80" s="1517" t="s">
        <v>1615</v>
      </c>
      <c r="B80" s="1522">
        <v>90</v>
      </c>
      <c r="C80" s="1521">
        <v>43661</v>
      </c>
      <c r="D80" s="1521">
        <v>43661</v>
      </c>
      <c r="E80" s="1528" t="s">
        <v>177</v>
      </c>
      <c r="F80" s="1517" t="s">
        <v>719</v>
      </c>
      <c r="G80" s="1523" t="s">
        <v>916</v>
      </c>
      <c r="H80" s="1519">
        <v>617</v>
      </c>
      <c r="I80" s="1524">
        <v>617</v>
      </c>
      <c r="J80" s="1517"/>
      <c r="K80" s="1529" t="s">
        <v>917</v>
      </c>
      <c r="L80" s="1520">
        <v>26</v>
      </c>
      <c r="M80" s="1520">
        <v>104</v>
      </c>
      <c r="N80" s="1518">
        <v>43679</v>
      </c>
    </row>
    <row r="81" spans="1:15">
      <c r="A81" s="1517" t="s">
        <v>1615</v>
      </c>
      <c r="B81" s="1522">
        <v>90</v>
      </c>
      <c r="C81" s="1521">
        <v>43661</v>
      </c>
      <c r="D81" s="1521">
        <v>43661</v>
      </c>
      <c r="E81" s="1517" t="s">
        <v>159</v>
      </c>
      <c r="F81" s="1517" t="s">
        <v>719</v>
      </c>
      <c r="G81" s="1523" t="s">
        <v>918</v>
      </c>
      <c r="H81" s="1519">
        <v>62</v>
      </c>
      <c r="I81" s="1524">
        <v>62</v>
      </c>
      <c r="J81" s="1519"/>
      <c r="K81" s="1517" t="s">
        <v>917</v>
      </c>
      <c r="L81" s="1520">
        <v>6</v>
      </c>
      <c r="M81" s="1520">
        <v>24</v>
      </c>
      <c r="N81" s="1518">
        <v>43679</v>
      </c>
      <c r="O81" s="1024"/>
    </row>
    <row r="82" spans="1:15">
      <c r="A82" s="1517" t="s">
        <v>1616</v>
      </c>
      <c r="B82" s="1522" t="s">
        <v>941</v>
      </c>
      <c r="C82" s="1521">
        <v>43661</v>
      </c>
      <c r="D82" s="1521">
        <v>43661</v>
      </c>
      <c r="E82" s="1528" t="s">
        <v>177</v>
      </c>
      <c r="F82" s="1517" t="s">
        <v>719</v>
      </c>
      <c r="G82" s="1523" t="s">
        <v>916</v>
      </c>
      <c r="H82" s="1519">
        <v>445</v>
      </c>
      <c r="I82" s="1524">
        <v>445</v>
      </c>
      <c r="J82" s="1517"/>
      <c r="K82" s="1529" t="s">
        <v>917</v>
      </c>
      <c r="L82" s="1520">
        <v>26</v>
      </c>
      <c r="M82" s="1520">
        <v>104</v>
      </c>
      <c r="N82" s="1518">
        <v>43679</v>
      </c>
      <c r="O82" s="1024"/>
    </row>
    <row r="83" spans="1:15">
      <c r="A83" s="1517" t="s">
        <v>1616</v>
      </c>
      <c r="B83" s="1522" t="s">
        <v>941</v>
      </c>
      <c r="C83" s="1521">
        <v>43661</v>
      </c>
      <c r="D83" s="1521">
        <v>43661</v>
      </c>
      <c r="E83" s="1517" t="s">
        <v>159</v>
      </c>
      <c r="F83" s="1517" t="s">
        <v>719</v>
      </c>
      <c r="G83" s="1523" t="s">
        <v>918</v>
      </c>
      <c r="H83" s="1519">
        <v>23</v>
      </c>
      <c r="I83" s="1524">
        <v>23</v>
      </c>
      <c r="J83" s="1519" t="s">
        <v>926</v>
      </c>
      <c r="K83" s="1517" t="s">
        <v>917</v>
      </c>
      <c r="L83" s="1520">
        <v>6</v>
      </c>
      <c r="M83" s="1520">
        <v>24</v>
      </c>
      <c r="N83" s="1518">
        <v>43679</v>
      </c>
      <c r="O83" s="1024"/>
    </row>
    <row r="84" spans="1:15">
      <c r="A84" s="1526" t="s">
        <v>1617</v>
      </c>
      <c r="B84" s="1527" t="s">
        <v>942</v>
      </c>
      <c r="C84" s="1521">
        <v>43661</v>
      </c>
      <c r="D84" s="1521">
        <v>43661</v>
      </c>
      <c r="E84" s="1517" t="s">
        <v>159</v>
      </c>
      <c r="F84" s="1517" t="s">
        <v>719</v>
      </c>
      <c r="G84" s="1523" t="s">
        <v>918</v>
      </c>
      <c r="H84" s="1519">
        <v>45</v>
      </c>
      <c r="I84" s="1524">
        <v>45</v>
      </c>
      <c r="J84" s="1519"/>
      <c r="K84" s="1517" t="s">
        <v>917</v>
      </c>
      <c r="L84" s="1520">
        <v>6</v>
      </c>
      <c r="M84" s="1520">
        <v>24</v>
      </c>
      <c r="N84" s="1518">
        <v>43679</v>
      </c>
      <c r="O84" s="1024"/>
    </row>
    <row r="85" spans="1:15">
      <c r="A85" s="1516" t="s">
        <v>1617</v>
      </c>
      <c r="B85" s="1522" t="s">
        <v>942</v>
      </c>
      <c r="C85" s="1521">
        <v>43661</v>
      </c>
      <c r="D85" s="1521">
        <v>43661</v>
      </c>
      <c r="E85" s="1528" t="s">
        <v>177</v>
      </c>
      <c r="F85" s="1517" t="s">
        <v>719</v>
      </c>
      <c r="G85" s="1523" t="s">
        <v>916</v>
      </c>
      <c r="H85" s="1519">
        <v>543</v>
      </c>
      <c r="I85" s="1524">
        <v>543</v>
      </c>
      <c r="J85" s="1517"/>
      <c r="K85" s="1529" t="s">
        <v>917</v>
      </c>
      <c r="L85" s="1520">
        <v>26</v>
      </c>
      <c r="M85" s="1520">
        <v>104</v>
      </c>
      <c r="N85" s="1518">
        <v>43679</v>
      </c>
      <c r="O85" s="1024"/>
    </row>
    <row r="86" spans="1:15">
      <c r="A86" s="1535" t="s">
        <v>1618</v>
      </c>
      <c r="B86" s="1541" t="s">
        <v>939</v>
      </c>
      <c r="C86" s="1540">
        <v>43654</v>
      </c>
      <c r="D86" s="1540">
        <v>43654</v>
      </c>
      <c r="E86" s="1547" t="s">
        <v>177</v>
      </c>
      <c r="F86" s="1536" t="s">
        <v>719</v>
      </c>
      <c r="G86" s="1542" t="s">
        <v>916</v>
      </c>
      <c r="H86" s="1538">
        <v>445</v>
      </c>
      <c r="I86" s="1543">
        <v>445</v>
      </c>
      <c r="J86" s="1536"/>
      <c r="K86" s="1548" t="s">
        <v>917</v>
      </c>
      <c r="L86" s="1539">
        <v>26</v>
      </c>
      <c r="M86" s="1539">
        <v>104</v>
      </c>
      <c r="N86" s="1537">
        <v>43663</v>
      </c>
      <c r="O86" s="1024"/>
    </row>
    <row r="87" spans="1:15">
      <c r="A87" s="1535" t="s">
        <v>1618</v>
      </c>
      <c r="B87" s="1541" t="s">
        <v>939</v>
      </c>
      <c r="C87" s="1540">
        <v>43654</v>
      </c>
      <c r="D87" s="1540">
        <v>43654</v>
      </c>
      <c r="E87" s="1536" t="s">
        <v>159</v>
      </c>
      <c r="F87" s="1536" t="s">
        <v>719</v>
      </c>
      <c r="G87" s="1542" t="s">
        <v>918</v>
      </c>
      <c r="H87" s="1538">
        <v>22</v>
      </c>
      <c r="I87" s="1543">
        <v>22</v>
      </c>
      <c r="J87" s="1538" t="s">
        <v>926</v>
      </c>
      <c r="K87" s="1536" t="s">
        <v>917</v>
      </c>
      <c r="L87" s="1539">
        <v>6</v>
      </c>
      <c r="M87" s="1539">
        <v>24</v>
      </c>
      <c r="N87" s="1537">
        <v>43663</v>
      </c>
      <c r="O87" s="1024"/>
    </row>
    <row r="88" spans="1:15">
      <c r="A88" s="1545" t="s">
        <v>1619</v>
      </c>
      <c r="B88" s="1541" t="s">
        <v>940</v>
      </c>
      <c r="C88" s="1540">
        <v>43654</v>
      </c>
      <c r="D88" s="1540">
        <v>43654</v>
      </c>
      <c r="E88" s="1547" t="s">
        <v>177</v>
      </c>
      <c r="F88" s="1536" t="s">
        <v>719</v>
      </c>
      <c r="G88" s="1542" t="s">
        <v>916</v>
      </c>
      <c r="H88" s="1538">
        <v>334</v>
      </c>
      <c r="I88" s="1543">
        <v>334</v>
      </c>
      <c r="J88" s="1536"/>
      <c r="K88" s="1548" t="s">
        <v>917</v>
      </c>
      <c r="L88" s="1539">
        <v>26</v>
      </c>
      <c r="M88" s="1539">
        <v>104</v>
      </c>
      <c r="N88" s="1537">
        <v>43663</v>
      </c>
      <c r="O88" s="1024"/>
    </row>
    <row r="89" spans="1:15">
      <c r="A89" s="1535" t="s">
        <v>1619</v>
      </c>
      <c r="B89" s="1541" t="s">
        <v>940</v>
      </c>
      <c r="C89" s="1540">
        <v>43654</v>
      </c>
      <c r="D89" s="1540">
        <v>43654</v>
      </c>
      <c r="E89" s="1536" t="s">
        <v>159</v>
      </c>
      <c r="F89" s="1536" t="s">
        <v>719</v>
      </c>
      <c r="G89" s="1542" t="s">
        <v>918</v>
      </c>
      <c r="H89" s="1538">
        <v>35</v>
      </c>
      <c r="I89" s="1543">
        <v>35</v>
      </c>
      <c r="J89" s="1538"/>
      <c r="K89" s="1536" t="s">
        <v>917</v>
      </c>
      <c r="L89" s="1539">
        <v>6</v>
      </c>
      <c r="M89" s="1539">
        <v>24</v>
      </c>
      <c r="N89" s="1537">
        <v>43663</v>
      </c>
      <c r="O89" s="1024"/>
    </row>
    <row r="90" spans="1:15">
      <c r="A90" s="1536" t="s">
        <v>1620</v>
      </c>
      <c r="B90" s="1541">
        <v>45</v>
      </c>
      <c r="C90" s="1540">
        <v>43654</v>
      </c>
      <c r="D90" s="1540">
        <v>43654</v>
      </c>
      <c r="E90" s="1547" t="s">
        <v>177</v>
      </c>
      <c r="F90" s="1536" t="s">
        <v>719</v>
      </c>
      <c r="G90" s="1542" t="s">
        <v>916</v>
      </c>
      <c r="H90" s="1538">
        <v>409</v>
      </c>
      <c r="I90" s="1543">
        <v>409</v>
      </c>
      <c r="J90" s="1536"/>
      <c r="K90" s="1548" t="s">
        <v>917</v>
      </c>
      <c r="L90" s="1539">
        <v>26</v>
      </c>
      <c r="M90" s="1539">
        <v>104</v>
      </c>
      <c r="N90" s="1537">
        <v>43663</v>
      </c>
      <c r="O90" s="1024"/>
    </row>
    <row r="91" spans="1:15">
      <c r="A91" s="1545" t="s">
        <v>1620</v>
      </c>
      <c r="B91" s="1541">
        <v>45</v>
      </c>
      <c r="C91" s="1540">
        <v>43654</v>
      </c>
      <c r="D91" s="1540">
        <v>43654</v>
      </c>
      <c r="E91" s="1536" t="s">
        <v>159</v>
      </c>
      <c r="F91" s="1536" t="s">
        <v>719</v>
      </c>
      <c r="G91" s="1542" t="s">
        <v>918</v>
      </c>
      <c r="H91" s="1538">
        <v>33</v>
      </c>
      <c r="I91" s="1543">
        <v>33</v>
      </c>
      <c r="J91" s="1538"/>
      <c r="K91" s="1536" t="s">
        <v>917</v>
      </c>
      <c r="L91" s="1539">
        <v>6</v>
      </c>
      <c r="M91" s="1539">
        <v>24</v>
      </c>
      <c r="N91" s="1537">
        <v>43663</v>
      </c>
      <c r="O91" s="1024"/>
    </row>
    <row r="92" spans="1:15">
      <c r="A92" s="1536" t="s">
        <v>1621</v>
      </c>
      <c r="B92" s="1541">
        <v>90</v>
      </c>
      <c r="C92" s="1540">
        <v>43654</v>
      </c>
      <c r="D92" s="1540">
        <v>43654</v>
      </c>
      <c r="E92" s="1547" t="s">
        <v>177</v>
      </c>
      <c r="F92" s="1536" t="s">
        <v>719</v>
      </c>
      <c r="G92" s="1542" t="s">
        <v>916</v>
      </c>
      <c r="H92" s="1538">
        <v>477</v>
      </c>
      <c r="I92" s="1543">
        <v>477</v>
      </c>
      <c r="J92" s="1536"/>
      <c r="K92" s="1548" t="s">
        <v>917</v>
      </c>
      <c r="L92" s="1539">
        <v>26</v>
      </c>
      <c r="M92" s="1539">
        <v>104</v>
      </c>
      <c r="N92" s="1537">
        <v>43663</v>
      </c>
      <c r="O92" s="1024"/>
    </row>
    <row r="93" spans="1:15">
      <c r="A93" s="1536" t="s">
        <v>1621</v>
      </c>
      <c r="B93" s="1541">
        <v>90</v>
      </c>
      <c r="C93" s="1540">
        <v>43654</v>
      </c>
      <c r="D93" s="1540">
        <v>43654</v>
      </c>
      <c r="E93" s="1536" t="s">
        <v>159</v>
      </c>
      <c r="F93" s="1536" t="s">
        <v>719</v>
      </c>
      <c r="G93" s="1542" t="s">
        <v>918</v>
      </c>
      <c r="H93" s="1538">
        <v>59</v>
      </c>
      <c r="I93" s="1543">
        <v>59</v>
      </c>
      <c r="J93" s="1536"/>
      <c r="K93" s="1536" t="s">
        <v>917</v>
      </c>
      <c r="L93" s="1539">
        <v>6</v>
      </c>
      <c r="M93" s="1539">
        <v>24</v>
      </c>
      <c r="N93" s="1537">
        <v>43663</v>
      </c>
      <c r="O93" s="1024"/>
    </row>
    <row r="94" spans="1:15">
      <c r="A94" s="1545" t="s">
        <v>1622</v>
      </c>
      <c r="B94" s="1546" t="s">
        <v>941</v>
      </c>
      <c r="C94" s="1540">
        <v>43654</v>
      </c>
      <c r="D94" s="1540">
        <v>43654</v>
      </c>
      <c r="E94" s="1547" t="s">
        <v>177</v>
      </c>
      <c r="F94" s="1536" t="s">
        <v>719</v>
      </c>
      <c r="G94" s="1542" t="s">
        <v>916</v>
      </c>
      <c r="H94" s="1538">
        <v>429</v>
      </c>
      <c r="I94" s="1543">
        <v>429</v>
      </c>
      <c r="J94" s="1536"/>
      <c r="K94" s="1548" t="s">
        <v>917</v>
      </c>
      <c r="L94" s="1539">
        <v>26</v>
      </c>
      <c r="M94" s="1539">
        <v>104</v>
      </c>
      <c r="N94" s="1537">
        <v>43663</v>
      </c>
      <c r="O94" s="1024"/>
    </row>
    <row r="95" spans="1:15">
      <c r="A95" s="1545" t="s">
        <v>1622</v>
      </c>
      <c r="B95" s="1546" t="s">
        <v>941</v>
      </c>
      <c r="C95" s="1540">
        <v>43654</v>
      </c>
      <c r="D95" s="1540">
        <v>43654</v>
      </c>
      <c r="E95" s="1536" t="s">
        <v>159</v>
      </c>
      <c r="F95" s="1536" t="s">
        <v>719</v>
      </c>
      <c r="G95" s="1542" t="s">
        <v>918</v>
      </c>
      <c r="H95" s="1538">
        <v>25</v>
      </c>
      <c r="I95" s="1543">
        <v>25</v>
      </c>
      <c r="J95" s="1538"/>
      <c r="K95" s="1536" t="s">
        <v>917</v>
      </c>
      <c r="L95" s="1539">
        <v>6</v>
      </c>
      <c r="M95" s="1539">
        <v>24</v>
      </c>
      <c r="N95" s="1537">
        <v>43663</v>
      </c>
      <c r="O95" s="1024"/>
    </row>
    <row r="96" spans="1:15">
      <c r="A96" s="1536" t="s">
        <v>1623</v>
      </c>
      <c r="B96" s="1541" t="s">
        <v>942</v>
      </c>
      <c r="C96" s="1540">
        <v>43654</v>
      </c>
      <c r="D96" s="1540">
        <v>43654</v>
      </c>
      <c r="E96" s="1547" t="s">
        <v>177</v>
      </c>
      <c r="F96" s="1536" t="s">
        <v>719</v>
      </c>
      <c r="G96" s="1542" t="s">
        <v>916</v>
      </c>
      <c r="H96" s="1538">
        <v>586</v>
      </c>
      <c r="I96" s="1543">
        <v>586</v>
      </c>
      <c r="J96" s="1536"/>
      <c r="K96" s="1548" t="s">
        <v>917</v>
      </c>
      <c r="L96" s="1539">
        <v>26</v>
      </c>
      <c r="M96" s="1539">
        <v>104</v>
      </c>
      <c r="N96" s="1537">
        <v>43663</v>
      </c>
      <c r="O96" s="1024"/>
    </row>
    <row r="97" spans="1:15">
      <c r="A97" s="1536" t="s">
        <v>1623</v>
      </c>
      <c r="B97" s="1541" t="s">
        <v>942</v>
      </c>
      <c r="C97" s="1540">
        <v>43654</v>
      </c>
      <c r="D97" s="1540">
        <v>43654</v>
      </c>
      <c r="E97" s="1536" t="s">
        <v>159</v>
      </c>
      <c r="F97" s="1536" t="s">
        <v>719</v>
      </c>
      <c r="G97" s="1542" t="s">
        <v>918</v>
      </c>
      <c r="H97" s="1538">
        <v>51</v>
      </c>
      <c r="I97" s="1543">
        <v>51</v>
      </c>
      <c r="J97" s="1538"/>
      <c r="K97" s="1536" t="s">
        <v>917</v>
      </c>
      <c r="L97" s="1539">
        <v>6</v>
      </c>
      <c r="M97" s="1539">
        <v>24</v>
      </c>
      <c r="N97" s="1537">
        <v>43663</v>
      </c>
      <c r="O97" s="1024"/>
    </row>
    <row r="98" spans="1:15">
      <c r="A98" s="1555" t="s">
        <v>1625</v>
      </c>
      <c r="B98" s="1561" t="s">
        <v>939</v>
      </c>
      <c r="C98" s="1560">
        <v>43682</v>
      </c>
      <c r="D98" s="1560">
        <v>43682</v>
      </c>
      <c r="E98" s="1567" t="s">
        <v>177</v>
      </c>
      <c r="F98" s="1556" t="s">
        <v>719</v>
      </c>
      <c r="G98" s="1562" t="s">
        <v>916</v>
      </c>
      <c r="H98" s="1558">
        <v>664</v>
      </c>
      <c r="I98" s="1563">
        <v>664</v>
      </c>
      <c r="J98" s="1556"/>
      <c r="K98" s="1568" t="s">
        <v>917</v>
      </c>
      <c r="L98" s="1559">
        <v>26</v>
      </c>
      <c r="M98" s="1559">
        <v>104</v>
      </c>
      <c r="N98" s="1557">
        <v>43698</v>
      </c>
      <c r="O98" s="1024"/>
    </row>
    <row r="99" spans="1:15">
      <c r="A99" s="1555" t="s">
        <v>1625</v>
      </c>
      <c r="B99" s="1561" t="s">
        <v>939</v>
      </c>
      <c r="C99" s="1560">
        <v>43682</v>
      </c>
      <c r="D99" s="1560">
        <v>43682</v>
      </c>
      <c r="E99" s="1556" t="s">
        <v>159</v>
      </c>
      <c r="F99" s="1556" t="s">
        <v>719</v>
      </c>
      <c r="G99" s="1562" t="s">
        <v>918</v>
      </c>
      <c r="H99" s="1558">
        <v>135</v>
      </c>
      <c r="I99" s="1563">
        <v>135</v>
      </c>
      <c r="J99" s="1558"/>
      <c r="K99" s="1556" t="s">
        <v>917</v>
      </c>
      <c r="L99" s="1559">
        <v>6</v>
      </c>
      <c r="M99" s="1559">
        <v>24</v>
      </c>
      <c r="N99" s="1557">
        <v>43698</v>
      </c>
      <c r="O99" s="1024"/>
    </row>
    <row r="100" spans="1:15">
      <c r="A100" s="1565" t="s">
        <v>1626</v>
      </c>
      <c r="B100" s="1561" t="s">
        <v>940</v>
      </c>
      <c r="C100" s="1560">
        <v>43682</v>
      </c>
      <c r="D100" s="1560">
        <v>43682</v>
      </c>
      <c r="E100" s="1567" t="s">
        <v>177</v>
      </c>
      <c r="F100" s="1556" t="s">
        <v>719</v>
      </c>
      <c r="G100" s="1562" t="s">
        <v>916</v>
      </c>
      <c r="H100" s="1558">
        <v>501</v>
      </c>
      <c r="I100" s="1563">
        <v>501</v>
      </c>
      <c r="J100" s="1556"/>
      <c r="K100" s="1568" t="s">
        <v>917</v>
      </c>
      <c r="L100" s="1559">
        <v>26</v>
      </c>
      <c r="M100" s="1559">
        <v>104</v>
      </c>
      <c r="N100" s="1557">
        <v>43698</v>
      </c>
      <c r="O100" s="1024"/>
    </row>
    <row r="101" spans="1:15">
      <c r="A101" s="1555" t="s">
        <v>1626</v>
      </c>
      <c r="B101" s="1561" t="s">
        <v>940</v>
      </c>
      <c r="C101" s="1560">
        <v>43682</v>
      </c>
      <c r="D101" s="1560">
        <v>43682</v>
      </c>
      <c r="E101" s="1556" t="s">
        <v>159</v>
      </c>
      <c r="F101" s="1556" t="s">
        <v>719</v>
      </c>
      <c r="G101" s="1562" t="s">
        <v>918</v>
      </c>
      <c r="H101" s="1558">
        <v>75</v>
      </c>
      <c r="I101" s="1563">
        <v>75</v>
      </c>
      <c r="J101" s="1558"/>
      <c r="K101" s="1556" t="s">
        <v>917</v>
      </c>
      <c r="L101" s="1559">
        <v>6</v>
      </c>
      <c r="M101" s="1559">
        <v>24</v>
      </c>
      <c r="N101" s="1557">
        <v>43698</v>
      </c>
    </row>
    <row r="102" spans="1:15">
      <c r="A102" s="1556" t="s">
        <v>1627</v>
      </c>
      <c r="B102" s="1561">
        <v>45</v>
      </c>
      <c r="C102" s="1560">
        <v>43682</v>
      </c>
      <c r="D102" s="1560">
        <v>43682</v>
      </c>
      <c r="E102" s="1567" t="s">
        <v>177</v>
      </c>
      <c r="F102" s="1556" t="s">
        <v>719</v>
      </c>
      <c r="G102" s="1562" t="s">
        <v>916</v>
      </c>
      <c r="H102" s="1558">
        <v>484</v>
      </c>
      <c r="I102" s="1563">
        <v>484</v>
      </c>
      <c r="J102" s="1556"/>
      <c r="K102" s="1568" t="s">
        <v>917</v>
      </c>
      <c r="L102" s="1559">
        <v>26</v>
      </c>
      <c r="M102" s="1559">
        <v>104</v>
      </c>
      <c r="N102" s="1557">
        <v>43698</v>
      </c>
      <c r="O102" s="566"/>
    </row>
    <row r="103" spans="1:15">
      <c r="A103" s="1565" t="s">
        <v>1627</v>
      </c>
      <c r="B103" s="1561">
        <v>45</v>
      </c>
      <c r="C103" s="1560">
        <v>43682</v>
      </c>
      <c r="D103" s="1560">
        <v>43682</v>
      </c>
      <c r="E103" s="1556" t="s">
        <v>159</v>
      </c>
      <c r="F103" s="1556" t="s">
        <v>719</v>
      </c>
      <c r="G103" s="1562" t="s">
        <v>918</v>
      </c>
      <c r="H103" s="1558">
        <v>40</v>
      </c>
      <c r="I103" s="1563">
        <v>40</v>
      </c>
      <c r="J103" s="1558"/>
      <c r="K103" s="1556" t="s">
        <v>917</v>
      </c>
      <c r="L103" s="1559">
        <v>6</v>
      </c>
      <c r="M103" s="1559">
        <v>24</v>
      </c>
      <c r="N103" s="1557">
        <v>43698</v>
      </c>
      <c r="O103" s="566"/>
    </row>
    <row r="104" spans="1:15">
      <c r="A104" s="1556" t="s">
        <v>1628</v>
      </c>
      <c r="B104" s="1561">
        <v>90</v>
      </c>
      <c r="C104" s="1560">
        <v>43682</v>
      </c>
      <c r="D104" s="1560">
        <v>43682</v>
      </c>
      <c r="E104" s="1567" t="s">
        <v>177</v>
      </c>
      <c r="F104" s="1556" t="s">
        <v>719</v>
      </c>
      <c r="G104" s="1562" t="s">
        <v>916</v>
      </c>
      <c r="H104" s="1558">
        <v>505</v>
      </c>
      <c r="I104" s="1563">
        <v>505</v>
      </c>
      <c r="J104" s="1556"/>
      <c r="K104" s="1568" t="s">
        <v>917</v>
      </c>
      <c r="L104" s="1559">
        <v>26</v>
      </c>
      <c r="M104" s="1559">
        <v>104</v>
      </c>
      <c r="N104" s="1557">
        <v>43698</v>
      </c>
      <c r="O104" s="566"/>
    </row>
    <row r="105" spans="1:15">
      <c r="A105" s="1556" t="s">
        <v>1628</v>
      </c>
      <c r="B105" s="1561">
        <v>90</v>
      </c>
      <c r="C105" s="1560">
        <v>43682</v>
      </c>
      <c r="D105" s="1560">
        <v>43682</v>
      </c>
      <c r="E105" s="1556" t="s">
        <v>159</v>
      </c>
      <c r="F105" s="1556" t="s">
        <v>719</v>
      </c>
      <c r="G105" s="1562" t="s">
        <v>918</v>
      </c>
      <c r="H105" s="1558">
        <v>42</v>
      </c>
      <c r="I105" s="1563">
        <v>42</v>
      </c>
      <c r="J105" s="1556"/>
      <c r="K105" s="1556" t="s">
        <v>917</v>
      </c>
      <c r="L105" s="1559">
        <v>6</v>
      </c>
      <c r="M105" s="1559">
        <v>24</v>
      </c>
      <c r="N105" s="1557">
        <v>43698</v>
      </c>
      <c r="O105" s="566"/>
    </row>
    <row r="106" spans="1:15">
      <c r="A106" s="1565" t="s">
        <v>1629</v>
      </c>
      <c r="B106" s="1566" t="s">
        <v>941</v>
      </c>
      <c r="C106" s="1560">
        <v>43682</v>
      </c>
      <c r="D106" s="1560">
        <v>43682</v>
      </c>
      <c r="E106" s="1567" t="s">
        <v>177</v>
      </c>
      <c r="F106" s="1556" t="s">
        <v>719</v>
      </c>
      <c r="G106" s="1562" t="s">
        <v>916</v>
      </c>
      <c r="H106" s="1558">
        <v>586</v>
      </c>
      <c r="I106" s="1563">
        <v>586</v>
      </c>
      <c r="J106" s="1556"/>
      <c r="K106" s="1568" t="s">
        <v>917</v>
      </c>
      <c r="L106" s="1559">
        <v>26</v>
      </c>
      <c r="M106" s="1559">
        <v>104</v>
      </c>
      <c r="N106" s="1557">
        <v>43698</v>
      </c>
      <c r="O106" s="566"/>
    </row>
    <row r="107" spans="1:15">
      <c r="A107" s="1565" t="s">
        <v>1629</v>
      </c>
      <c r="B107" s="1566" t="s">
        <v>941</v>
      </c>
      <c r="C107" s="1560">
        <v>43682</v>
      </c>
      <c r="D107" s="1560">
        <v>43682</v>
      </c>
      <c r="E107" s="1556" t="s">
        <v>159</v>
      </c>
      <c r="F107" s="1556" t="s">
        <v>719</v>
      </c>
      <c r="G107" s="1562" t="s">
        <v>918</v>
      </c>
      <c r="H107" s="1558">
        <v>38</v>
      </c>
      <c r="I107" s="1563">
        <v>38</v>
      </c>
      <c r="J107" s="1558"/>
      <c r="K107" s="1556" t="s">
        <v>917</v>
      </c>
      <c r="L107" s="1559">
        <v>6</v>
      </c>
      <c r="M107" s="1559">
        <v>24</v>
      </c>
      <c r="N107" s="1557">
        <v>43698</v>
      </c>
      <c r="O107" s="566"/>
    </row>
    <row r="108" spans="1:15">
      <c r="A108" s="1556" t="s">
        <v>1630</v>
      </c>
      <c r="B108" s="1561" t="s">
        <v>942</v>
      </c>
      <c r="C108" s="1560">
        <v>43682</v>
      </c>
      <c r="D108" s="1560">
        <v>43682</v>
      </c>
      <c r="E108" s="1567" t="s">
        <v>177</v>
      </c>
      <c r="F108" s="1556" t="s">
        <v>719</v>
      </c>
      <c r="G108" s="1562" t="s">
        <v>916</v>
      </c>
      <c r="H108" s="1558">
        <v>570</v>
      </c>
      <c r="I108" s="1563">
        <v>570</v>
      </c>
      <c r="J108" s="1556"/>
      <c r="K108" s="1568" t="s">
        <v>917</v>
      </c>
      <c r="L108" s="1559">
        <v>26</v>
      </c>
      <c r="M108" s="1559">
        <v>104</v>
      </c>
      <c r="N108" s="1557">
        <v>43698</v>
      </c>
      <c r="O108" s="566"/>
    </row>
    <row r="109" spans="1:15">
      <c r="A109" s="1556" t="s">
        <v>1630</v>
      </c>
      <c r="B109" s="1561" t="s">
        <v>942</v>
      </c>
      <c r="C109" s="1560">
        <v>43682</v>
      </c>
      <c r="D109" s="1560">
        <v>43682</v>
      </c>
      <c r="E109" s="1556" t="s">
        <v>159</v>
      </c>
      <c r="F109" s="1556" t="s">
        <v>719</v>
      </c>
      <c r="G109" s="1562" t="s">
        <v>918</v>
      </c>
      <c r="H109" s="1558">
        <v>90</v>
      </c>
      <c r="I109" s="1563">
        <v>90</v>
      </c>
      <c r="J109" s="1558"/>
      <c r="K109" s="1556" t="s">
        <v>917</v>
      </c>
      <c r="L109" s="1559">
        <v>6</v>
      </c>
      <c r="M109" s="1559">
        <v>24</v>
      </c>
      <c r="N109" s="1557">
        <v>43698</v>
      </c>
      <c r="O109" s="566"/>
    </row>
    <row r="110" spans="1:15">
      <c r="A110" s="1575" t="s">
        <v>1634</v>
      </c>
      <c r="B110" s="1581" t="s">
        <v>939</v>
      </c>
      <c r="C110" s="1580">
        <v>43717</v>
      </c>
      <c r="D110" s="1580">
        <v>43717</v>
      </c>
      <c r="E110" s="1587" t="s">
        <v>177</v>
      </c>
      <c r="F110" s="1576" t="s">
        <v>719</v>
      </c>
      <c r="G110" s="1582" t="s">
        <v>916</v>
      </c>
      <c r="H110" s="1578">
        <v>864</v>
      </c>
      <c r="I110" s="1583">
        <v>864</v>
      </c>
      <c r="J110" s="1576"/>
      <c r="K110" s="1588" t="s">
        <v>917</v>
      </c>
      <c r="L110" s="1579">
        <v>26</v>
      </c>
      <c r="M110" s="1579">
        <v>104</v>
      </c>
      <c r="N110" s="1577">
        <v>43741</v>
      </c>
      <c r="O110" s="566"/>
    </row>
    <row r="111" spans="1:15">
      <c r="A111" s="1575" t="s">
        <v>1634</v>
      </c>
      <c r="B111" s="1581" t="s">
        <v>939</v>
      </c>
      <c r="C111" s="1580">
        <v>43717</v>
      </c>
      <c r="D111" s="1580">
        <v>43717</v>
      </c>
      <c r="E111" s="1576" t="s">
        <v>159</v>
      </c>
      <c r="F111" s="1576" t="s">
        <v>719</v>
      </c>
      <c r="G111" s="1582" t="s">
        <v>918</v>
      </c>
      <c r="H111" s="1578">
        <v>18</v>
      </c>
      <c r="I111" s="1583">
        <v>18</v>
      </c>
      <c r="J111" s="1578" t="s">
        <v>926</v>
      </c>
      <c r="K111" s="1576" t="s">
        <v>917</v>
      </c>
      <c r="L111" s="1579">
        <v>6</v>
      </c>
      <c r="M111" s="1579">
        <v>24</v>
      </c>
      <c r="N111" s="1577">
        <v>43741</v>
      </c>
      <c r="O111" s="566"/>
    </row>
    <row r="112" spans="1:15">
      <c r="A112" s="1585" t="s">
        <v>1635</v>
      </c>
      <c r="B112" s="1581" t="s">
        <v>940</v>
      </c>
      <c r="C112" s="1580">
        <v>43717</v>
      </c>
      <c r="D112" s="1580">
        <v>43717</v>
      </c>
      <c r="E112" s="1587" t="s">
        <v>177</v>
      </c>
      <c r="F112" s="1576" t="s">
        <v>719</v>
      </c>
      <c r="G112" s="1582" t="s">
        <v>916</v>
      </c>
      <c r="H112" s="1578">
        <v>505</v>
      </c>
      <c r="I112" s="1583">
        <v>505</v>
      </c>
      <c r="J112" s="1576"/>
      <c r="K112" s="1588" t="s">
        <v>917</v>
      </c>
      <c r="L112" s="1579">
        <v>26</v>
      </c>
      <c r="M112" s="1579">
        <v>104</v>
      </c>
      <c r="N112" s="1577">
        <v>43741</v>
      </c>
      <c r="O112" s="566"/>
    </row>
    <row r="113" spans="1:19">
      <c r="A113" s="1575" t="s">
        <v>1635</v>
      </c>
      <c r="B113" s="1581" t="s">
        <v>940</v>
      </c>
      <c r="C113" s="1580">
        <v>43717</v>
      </c>
      <c r="D113" s="1580">
        <v>43717</v>
      </c>
      <c r="E113" s="1576" t="s">
        <v>159</v>
      </c>
      <c r="F113" s="1576" t="s">
        <v>719</v>
      </c>
      <c r="G113" s="1582" t="s">
        <v>918</v>
      </c>
      <c r="H113" s="1578">
        <v>66</v>
      </c>
      <c r="I113" s="1583">
        <v>66</v>
      </c>
      <c r="J113" s="1578"/>
      <c r="K113" s="1576" t="s">
        <v>917</v>
      </c>
      <c r="L113" s="1579">
        <v>6</v>
      </c>
      <c r="M113" s="1579">
        <v>24</v>
      </c>
      <c r="N113" s="1577">
        <v>43741</v>
      </c>
      <c r="O113" s="566"/>
    </row>
    <row r="114" spans="1:19">
      <c r="A114" s="1576" t="s">
        <v>1636</v>
      </c>
      <c r="B114" s="1581">
        <v>45</v>
      </c>
      <c r="C114" s="1580">
        <v>43717</v>
      </c>
      <c r="D114" s="1580">
        <v>43717</v>
      </c>
      <c r="E114" s="1587" t="s">
        <v>177</v>
      </c>
      <c r="F114" s="1576" t="s">
        <v>719</v>
      </c>
      <c r="G114" s="1582" t="s">
        <v>916</v>
      </c>
      <c r="H114" s="1578">
        <v>572</v>
      </c>
      <c r="I114" s="1583">
        <v>572</v>
      </c>
      <c r="J114" s="1576"/>
      <c r="K114" s="1588" t="s">
        <v>917</v>
      </c>
      <c r="L114" s="1579">
        <v>26</v>
      </c>
      <c r="M114" s="1579">
        <v>104</v>
      </c>
      <c r="N114" s="1577">
        <v>43741</v>
      </c>
      <c r="O114" s="566"/>
    </row>
    <row r="115" spans="1:19">
      <c r="A115" s="1585" t="s">
        <v>1636</v>
      </c>
      <c r="B115" s="1581">
        <v>45</v>
      </c>
      <c r="C115" s="1580">
        <v>43717</v>
      </c>
      <c r="D115" s="1580">
        <v>43717</v>
      </c>
      <c r="E115" s="1576" t="s">
        <v>159</v>
      </c>
      <c r="F115" s="1576" t="s">
        <v>719</v>
      </c>
      <c r="G115" s="1582" t="s">
        <v>918</v>
      </c>
      <c r="H115" s="1578">
        <v>35</v>
      </c>
      <c r="I115" s="1583">
        <v>35</v>
      </c>
      <c r="J115" s="1578"/>
      <c r="K115" s="1576" t="s">
        <v>917</v>
      </c>
      <c r="L115" s="1579">
        <v>6</v>
      </c>
      <c r="M115" s="1579">
        <v>24</v>
      </c>
      <c r="N115" s="1577">
        <v>43741</v>
      </c>
      <c r="O115" s="566"/>
    </row>
    <row r="116" spans="1:19">
      <c r="A116" s="1576" t="s">
        <v>1637</v>
      </c>
      <c r="B116" s="1581">
        <v>90</v>
      </c>
      <c r="C116" s="1580">
        <v>43717</v>
      </c>
      <c r="D116" s="1580">
        <v>43717</v>
      </c>
      <c r="E116" s="1587" t="s">
        <v>177</v>
      </c>
      <c r="F116" s="1576" t="s">
        <v>719</v>
      </c>
      <c r="G116" s="1582" t="s">
        <v>916</v>
      </c>
      <c r="H116" s="1578">
        <v>679</v>
      </c>
      <c r="I116" s="1583">
        <v>679</v>
      </c>
      <c r="J116" s="1576"/>
      <c r="K116" s="1588" t="s">
        <v>917</v>
      </c>
      <c r="L116" s="1579">
        <v>26</v>
      </c>
      <c r="M116" s="1579">
        <v>104</v>
      </c>
      <c r="N116" s="1577">
        <v>43741</v>
      </c>
      <c r="O116" s="566"/>
    </row>
    <row r="117" spans="1:19">
      <c r="A117" s="1576" t="s">
        <v>1637</v>
      </c>
      <c r="B117" s="1581">
        <v>90</v>
      </c>
      <c r="C117" s="1580">
        <v>43717</v>
      </c>
      <c r="D117" s="1580">
        <v>43717</v>
      </c>
      <c r="E117" s="1576" t="s">
        <v>159</v>
      </c>
      <c r="F117" s="1576" t="s">
        <v>719</v>
      </c>
      <c r="G117" s="1582" t="s">
        <v>918</v>
      </c>
      <c r="H117" s="1578">
        <v>89</v>
      </c>
      <c r="I117" s="1583">
        <v>89</v>
      </c>
      <c r="J117" s="1576"/>
      <c r="K117" s="1576" t="s">
        <v>917</v>
      </c>
      <c r="L117" s="1579">
        <v>6</v>
      </c>
      <c r="M117" s="1579">
        <v>24</v>
      </c>
      <c r="N117" s="1577">
        <v>43741</v>
      </c>
      <c r="O117" s="566"/>
    </row>
    <row r="118" spans="1:19">
      <c r="A118" s="1585" t="s">
        <v>1638</v>
      </c>
      <c r="B118" s="1586" t="s">
        <v>941</v>
      </c>
      <c r="C118" s="1580">
        <v>43717</v>
      </c>
      <c r="D118" s="1580">
        <v>43717</v>
      </c>
      <c r="E118" s="1587" t="s">
        <v>177</v>
      </c>
      <c r="F118" s="1576" t="s">
        <v>719</v>
      </c>
      <c r="G118" s="1582" t="s">
        <v>916</v>
      </c>
      <c r="H118" s="1578">
        <v>712</v>
      </c>
      <c r="I118" s="1583">
        <v>712</v>
      </c>
      <c r="J118" s="1576"/>
      <c r="K118" s="1588" t="s">
        <v>917</v>
      </c>
      <c r="L118" s="1579">
        <v>26</v>
      </c>
      <c r="M118" s="1579">
        <v>104</v>
      </c>
      <c r="N118" s="1577">
        <v>43741</v>
      </c>
      <c r="O118" s="566"/>
    </row>
    <row r="119" spans="1:19">
      <c r="A119" s="1585" t="s">
        <v>1638</v>
      </c>
      <c r="B119" s="1586" t="s">
        <v>941</v>
      </c>
      <c r="C119" s="1580">
        <v>43717</v>
      </c>
      <c r="D119" s="1580">
        <v>43717</v>
      </c>
      <c r="E119" s="1576" t="s">
        <v>159</v>
      </c>
      <c r="F119" s="1576" t="s">
        <v>719</v>
      </c>
      <c r="G119" s="1582" t="s">
        <v>918</v>
      </c>
      <c r="H119" s="1578">
        <v>44</v>
      </c>
      <c r="I119" s="1583">
        <v>44</v>
      </c>
      <c r="J119" s="1578"/>
      <c r="K119" s="1576" t="s">
        <v>917</v>
      </c>
      <c r="L119" s="1579">
        <v>6</v>
      </c>
      <c r="M119" s="1579">
        <v>24</v>
      </c>
      <c r="N119" s="1577">
        <v>43741</v>
      </c>
    </row>
    <row r="120" spans="1:19">
      <c r="A120" s="1576" t="s">
        <v>1639</v>
      </c>
      <c r="B120" s="1581" t="s">
        <v>942</v>
      </c>
      <c r="C120" s="1580">
        <v>43717</v>
      </c>
      <c r="D120" s="1580">
        <v>43717</v>
      </c>
      <c r="E120" s="1587" t="s">
        <v>177</v>
      </c>
      <c r="F120" s="1576" t="s">
        <v>719</v>
      </c>
      <c r="G120" s="1582" t="s">
        <v>916</v>
      </c>
      <c r="H120" s="1578">
        <v>443</v>
      </c>
      <c r="I120" s="1583">
        <v>443</v>
      </c>
      <c r="J120" s="1576"/>
      <c r="K120" s="1588" t="s">
        <v>917</v>
      </c>
      <c r="L120" s="1579">
        <v>26</v>
      </c>
      <c r="M120" s="1579">
        <v>104</v>
      </c>
      <c r="N120" s="1577">
        <v>43741</v>
      </c>
      <c r="O120" s="1023"/>
      <c r="P120" s="505"/>
      <c r="Q120" s="505"/>
      <c r="S120" s="1023"/>
    </row>
    <row r="121" spans="1:19">
      <c r="A121" s="1576" t="s">
        <v>1639</v>
      </c>
      <c r="B121" s="1581" t="s">
        <v>942</v>
      </c>
      <c r="C121" s="1580">
        <v>43717</v>
      </c>
      <c r="D121" s="1580">
        <v>43717</v>
      </c>
      <c r="E121" s="1576" t="s">
        <v>159</v>
      </c>
      <c r="F121" s="1576" t="s">
        <v>719</v>
      </c>
      <c r="G121" s="1582" t="s">
        <v>918</v>
      </c>
      <c r="H121" s="1578">
        <v>48</v>
      </c>
      <c r="I121" s="1583">
        <v>48</v>
      </c>
      <c r="J121" s="1578"/>
      <c r="K121" s="1576" t="s">
        <v>917</v>
      </c>
      <c r="L121" s="1579">
        <v>6</v>
      </c>
      <c r="M121" s="1579">
        <v>24</v>
      </c>
      <c r="N121" s="1577">
        <v>43741</v>
      </c>
      <c r="O121" s="1023"/>
      <c r="P121" s="505"/>
      <c r="Q121" s="505"/>
      <c r="S121" s="1023"/>
    </row>
    <row r="122" spans="1:19">
      <c r="A122" s="1595" t="s">
        <v>1641</v>
      </c>
      <c r="B122" s="1601" t="s">
        <v>939</v>
      </c>
      <c r="C122" s="1600">
        <v>43724</v>
      </c>
      <c r="D122" s="1600">
        <v>43724</v>
      </c>
      <c r="E122" s="1607" t="s">
        <v>177</v>
      </c>
      <c r="F122" s="1596" t="s">
        <v>719</v>
      </c>
      <c r="G122" s="1602" t="s">
        <v>916</v>
      </c>
      <c r="H122" s="1598">
        <v>657</v>
      </c>
      <c r="I122" s="1603">
        <v>657</v>
      </c>
      <c r="J122" s="1596"/>
      <c r="K122" s="1608" t="s">
        <v>917</v>
      </c>
      <c r="L122" s="1599">
        <v>26</v>
      </c>
      <c r="M122" s="1599">
        <v>104</v>
      </c>
      <c r="N122" s="1597">
        <v>43747</v>
      </c>
      <c r="O122" s="1023"/>
      <c r="P122" s="505"/>
      <c r="Q122" s="505"/>
      <c r="S122" s="1023"/>
    </row>
    <row r="123" spans="1:19">
      <c r="A123" s="1595" t="s">
        <v>1641</v>
      </c>
      <c r="B123" s="1601" t="s">
        <v>939</v>
      </c>
      <c r="C123" s="1600">
        <v>43724</v>
      </c>
      <c r="D123" s="1600">
        <v>43724</v>
      </c>
      <c r="E123" s="1596" t="s">
        <v>159</v>
      </c>
      <c r="F123" s="1596" t="s">
        <v>719</v>
      </c>
      <c r="G123" s="1602" t="s">
        <v>918</v>
      </c>
      <c r="H123" s="1598">
        <v>6</v>
      </c>
      <c r="I123" s="1603"/>
      <c r="J123" s="1598" t="s">
        <v>919</v>
      </c>
      <c r="K123" s="1596" t="s">
        <v>917</v>
      </c>
      <c r="L123" s="1599">
        <v>6</v>
      </c>
      <c r="M123" s="1599">
        <v>24</v>
      </c>
      <c r="N123" s="1597">
        <v>43747</v>
      </c>
      <c r="O123" s="1034"/>
      <c r="P123" s="505"/>
      <c r="Q123" s="505"/>
      <c r="S123" s="1023"/>
    </row>
    <row r="124" spans="1:19">
      <c r="A124" s="1605" t="s">
        <v>1642</v>
      </c>
      <c r="B124" s="1601" t="s">
        <v>940</v>
      </c>
      <c r="C124" s="1600">
        <v>43724</v>
      </c>
      <c r="D124" s="1600">
        <v>43724</v>
      </c>
      <c r="E124" s="1607" t="s">
        <v>177</v>
      </c>
      <c r="F124" s="1596" t="s">
        <v>719</v>
      </c>
      <c r="G124" s="1602" t="s">
        <v>916</v>
      </c>
      <c r="H124" s="1598">
        <v>750</v>
      </c>
      <c r="I124" s="1603">
        <v>750</v>
      </c>
      <c r="J124" s="1596"/>
      <c r="K124" s="1608" t="s">
        <v>917</v>
      </c>
      <c r="L124" s="1599">
        <v>26</v>
      </c>
      <c r="M124" s="1599">
        <v>104</v>
      </c>
      <c r="N124" s="1597">
        <v>43747</v>
      </c>
      <c r="O124" s="1023"/>
      <c r="S124" s="1023"/>
    </row>
    <row r="125" spans="1:19">
      <c r="A125" s="1595" t="s">
        <v>1642</v>
      </c>
      <c r="B125" s="1601" t="s">
        <v>940</v>
      </c>
      <c r="C125" s="1600">
        <v>43724</v>
      </c>
      <c r="D125" s="1600">
        <v>43724</v>
      </c>
      <c r="E125" s="1596" t="s">
        <v>159</v>
      </c>
      <c r="F125" s="1596" t="s">
        <v>719</v>
      </c>
      <c r="G125" s="1602" t="s">
        <v>918</v>
      </c>
      <c r="H125" s="1598">
        <v>121</v>
      </c>
      <c r="I125" s="1603">
        <v>121</v>
      </c>
      <c r="J125" s="1598"/>
      <c r="K125" s="1596" t="s">
        <v>917</v>
      </c>
      <c r="L125" s="1599">
        <v>6</v>
      </c>
      <c r="M125" s="1599">
        <v>24</v>
      </c>
      <c r="N125" s="1597">
        <v>43747</v>
      </c>
      <c r="O125" s="672"/>
      <c r="P125" s="672"/>
      <c r="Q125" s="672"/>
      <c r="S125" s="1023"/>
    </row>
    <row r="126" spans="1:19">
      <c r="A126" s="1596" t="s">
        <v>1643</v>
      </c>
      <c r="B126" s="1601">
        <v>45</v>
      </c>
      <c r="C126" s="1600">
        <v>43724</v>
      </c>
      <c r="D126" s="1600">
        <v>43724</v>
      </c>
      <c r="E126" s="1607" t="s">
        <v>177</v>
      </c>
      <c r="F126" s="1596" t="s">
        <v>719</v>
      </c>
      <c r="G126" s="1602" t="s">
        <v>916</v>
      </c>
      <c r="H126" s="1598">
        <v>546</v>
      </c>
      <c r="I126" s="1603">
        <v>546</v>
      </c>
      <c r="J126" s="1596"/>
      <c r="K126" s="1608" t="s">
        <v>917</v>
      </c>
      <c r="L126" s="1599">
        <v>26</v>
      </c>
      <c r="M126" s="1599">
        <v>104</v>
      </c>
      <c r="N126" s="1597">
        <v>43747</v>
      </c>
      <c r="O126" s="1023"/>
      <c r="P126" s="542"/>
      <c r="Q126" s="542"/>
      <c r="S126" s="1023"/>
    </row>
    <row r="127" spans="1:19">
      <c r="A127" s="1605" t="s">
        <v>1643</v>
      </c>
      <c r="B127" s="1601">
        <v>45</v>
      </c>
      <c r="C127" s="1600">
        <v>43724</v>
      </c>
      <c r="D127" s="1600">
        <v>43724</v>
      </c>
      <c r="E127" s="1596" t="s">
        <v>159</v>
      </c>
      <c r="F127" s="1596" t="s">
        <v>719</v>
      </c>
      <c r="G127" s="1602" t="s">
        <v>918</v>
      </c>
      <c r="H127" s="1598">
        <v>55</v>
      </c>
      <c r="I127" s="1603">
        <v>55</v>
      </c>
      <c r="J127" s="1598"/>
      <c r="K127" s="1596" t="s">
        <v>917</v>
      </c>
      <c r="L127" s="1599">
        <v>6</v>
      </c>
      <c r="M127" s="1599">
        <v>24</v>
      </c>
      <c r="N127" s="1597">
        <v>43747</v>
      </c>
      <c r="O127" s="1034"/>
      <c r="P127" s="542"/>
      <c r="Q127" s="542"/>
      <c r="S127" s="1023"/>
    </row>
    <row r="128" spans="1:19">
      <c r="A128" s="1596" t="s">
        <v>1644</v>
      </c>
      <c r="B128" s="1601">
        <v>90</v>
      </c>
      <c r="C128" s="1600">
        <v>43724</v>
      </c>
      <c r="D128" s="1600">
        <v>43724</v>
      </c>
      <c r="E128" s="1607" t="s">
        <v>177</v>
      </c>
      <c r="F128" s="1596" t="s">
        <v>719</v>
      </c>
      <c r="G128" s="1602" t="s">
        <v>916</v>
      </c>
      <c r="H128" s="1598">
        <v>911</v>
      </c>
      <c r="I128" s="1603">
        <v>911</v>
      </c>
      <c r="J128" s="1596"/>
      <c r="K128" s="1608" t="s">
        <v>917</v>
      </c>
      <c r="L128" s="1599">
        <v>26</v>
      </c>
      <c r="M128" s="1599">
        <v>104</v>
      </c>
      <c r="N128" s="1597">
        <v>43747</v>
      </c>
      <c r="O128" s="356"/>
      <c r="P128" s="356"/>
      <c r="Q128" s="356"/>
      <c r="S128" s="1034"/>
    </row>
    <row r="129" spans="1:19">
      <c r="A129" s="1596" t="s">
        <v>1644</v>
      </c>
      <c r="B129" s="1601">
        <v>90</v>
      </c>
      <c r="C129" s="1600">
        <v>43724</v>
      </c>
      <c r="D129" s="1600">
        <v>43724</v>
      </c>
      <c r="E129" s="1596" t="s">
        <v>159</v>
      </c>
      <c r="F129" s="1596" t="s">
        <v>719</v>
      </c>
      <c r="G129" s="1602" t="s">
        <v>918</v>
      </c>
      <c r="H129" s="1598">
        <v>111</v>
      </c>
      <c r="I129" s="1603">
        <v>111</v>
      </c>
      <c r="J129" s="1596"/>
      <c r="K129" s="1596" t="s">
        <v>917</v>
      </c>
      <c r="L129" s="1599">
        <v>6</v>
      </c>
      <c r="M129" s="1599">
        <v>24</v>
      </c>
      <c r="N129" s="1597">
        <v>43747</v>
      </c>
      <c r="O129" s="672"/>
      <c r="P129" s="672"/>
      <c r="Q129" s="672"/>
      <c r="S129" s="1034"/>
    </row>
    <row r="130" spans="1:19">
      <c r="A130" s="1605" t="s">
        <v>1645</v>
      </c>
      <c r="B130" s="1606" t="s">
        <v>941</v>
      </c>
      <c r="C130" s="1600">
        <v>43724</v>
      </c>
      <c r="D130" s="1600">
        <v>43724</v>
      </c>
      <c r="E130" s="1607" t="s">
        <v>177</v>
      </c>
      <c r="F130" s="1596" t="s">
        <v>719</v>
      </c>
      <c r="G130" s="1602" t="s">
        <v>916</v>
      </c>
      <c r="H130" s="1598">
        <v>369</v>
      </c>
      <c r="I130" s="1603">
        <v>369</v>
      </c>
      <c r="J130" s="1596"/>
      <c r="K130" s="1608" t="s">
        <v>917</v>
      </c>
      <c r="L130" s="1599">
        <v>26</v>
      </c>
      <c r="M130" s="1599">
        <v>104</v>
      </c>
      <c r="N130" s="1597">
        <v>43747</v>
      </c>
      <c r="O130" s="1023"/>
      <c r="P130" s="505"/>
      <c r="Q130" s="505"/>
      <c r="S130" s="1023"/>
    </row>
    <row r="131" spans="1:19">
      <c r="A131" s="1605" t="s">
        <v>1645</v>
      </c>
      <c r="B131" s="1606" t="s">
        <v>941</v>
      </c>
      <c r="C131" s="1600">
        <v>43724</v>
      </c>
      <c r="D131" s="1600">
        <v>43724</v>
      </c>
      <c r="E131" s="1596" t="s">
        <v>159</v>
      </c>
      <c r="F131" s="1596" t="s">
        <v>719</v>
      </c>
      <c r="G131" s="1602" t="s">
        <v>918</v>
      </c>
      <c r="H131" s="1598">
        <v>27</v>
      </c>
      <c r="I131" s="1603">
        <v>27</v>
      </c>
      <c r="J131" s="1598"/>
      <c r="K131" s="1596" t="s">
        <v>917</v>
      </c>
      <c r="L131" s="1599">
        <v>6</v>
      </c>
      <c r="M131" s="1599">
        <v>24</v>
      </c>
      <c r="N131" s="1597">
        <v>43747</v>
      </c>
      <c r="O131" s="1023"/>
      <c r="P131" s="505"/>
      <c r="Q131" s="505"/>
      <c r="S131" s="1023"/>
    </row>
    <row r="132" spans="1:19">
      <c r="A132" s="1596" t="s">
        <v>1646</v>
      </c>
      <c r="B132" s="1601" t="s">
        <v>942</v>
      </c>
      <c r="C132" s="1600">
        <v>43724</v>
      </c>
      <c r="D132" s="1600">
        <v>43724</v>
      </c>
      <c r="E132" s="1607" t="s">
        <v>177</v>
      </c>
      <c r="F132" s="1596" t="s">
        <v>719</v>
      </c>
      <c r="G132" s="1602" t="s">
        <v>916</v>
      </c>
      <c r="H132" s="1598">
        <v>414</v>
      </c>
      <c r="I132" s="1603">
        <v>414</v>
      </c>
      <c r="J132" s="1596"/>
      <c r="K132" s="1608" t="s">
        <v>917</v>
      </c>
      <c r="L132" s="1599">
        <v>26</v>
      </c>
      <c r="M132" s="1599">
        <v>104</v>
      </c>
      <c r="N132" s="1597">
        <v>43747</v>
      </c>
      <c r="O132" s="1023"/>
      <c r="P132" s="505"/>
      <c r="Q132" s="505"/>
    </row>
    <row r="133" spans="1:19">
      <c r="A133" s="1596" t="s">
        <v>1646</v>
      </c>
      <c r="B133" s="1601" t="s">
        <v>942</v>
      </c>
      <c r="C133" s="1600">
        <v>43724</v>
      </c>
      <c r="D133" s="1600">
        <v>43724</v>
      </c>
      <c r="E133" s="1596" t="s">
        <v>159</v>
      </c>
      <c r="F133" s="1596" t="s">
        <v>719</v>
      </c>
      <c r="G133" s="1602" t="s">
        <v>918</v>
      </c>
      <c r="H133" s="1598">
        <v>61</v>
      </c>
      <c r="I133" s="1603">
        <v>61</v>
      </c>
      <c r="J133" s="1598"/>
      <c r="K133" s="1596" t="s">
        <v>917</v>
      </c>
      <c r="L133" s="1599">
        <v>6</v>
      </c>
      <c r="M133" s="1599">
        <v>24</v>
      </c>
      <c r="N133" s="1597">
        <v>43747</v>
      </c>
      <c r="O133" s="1023"/>
      <c r="P133" s="505"/>
      <c r="Q133" s="505"/>
    </row>
    <row r="134" spans="1:19">
      <c r="A134" s="1616" t="s">
        <v>1649</v>
      </c>
      <c r="B134" s="1622" t="s">
        <v>939</v>
      </c>
      <c r="C134" s="1621">
        <v>43752</v>
      </c>
      <c r="D134" s="1621">
        <v>43752</v>
      </c>
      <c r="E134" s="1628" t="s">
        <v>177</v>
      </c>
      <c r="F134" s="1617" t="s">
        <v>719</v>
      </c>
      <c r="G134" s="1623" t="s">
        <v>916</v>
      </c>
      <c r="H134" s="1619">
        <v>725</v>
      </c>
      <c r="I134" s="1624">
        <v>725</v>
      </c>
      <c r="J134" s="1617"/>
      <c r="K134" s="1629" t="s">
        <v>917</v>
      </c>
      <c r="L134" s="1620">
        <v>26</v>
      </c>
      <c r="M134" s="1620">
        <v>104</v>
      </c>
      <c r="N134" s="1618">
        <v>43770</v>
      </c>
    </row>
    <row r="135" spans="1:19">
      <c r="A135" s="1616" t="s">
        <v>1649</v>
      </c>
      <c r="B135" s="1622" t="s">
        <v>939</v>
      </c>
      <c r="C135" s="1621">
        <v>43752</v>
      </c>
      <c r="D135" s="1621">
        <v>43752</v>
      </c>
      <c r="E135" s="1617" t="s">
        <v>159</v>
      </c>
      <c r="F135" s="1617" t="s">
        <v>719</v>
      </c>
      <c r="G135" s="1623" t="s">
        <v>918</v>
      </c>
      <c r="H135" s="1619">
        <v>13</v>
      </c>
      <c r="I135" s="1624">
        <v>13</v>
      </c>
      <c r="J135" s="1619" t="s">
        <v>926</v>
      </c>
      <c r="K135" s="1617" t="s">
        <v>917</v>
      </c>
      <c r="L135" s="1620">
        <v>6</v>
      </c>
      <c r="M135" s="1620">
        <v>24</v>
      </c>
      <c r="N135" s="1618">
        <v>43770</v>
      </c>
    </row>
    <row r="136" spans="1:19">
      <c r="A136" s="1626" t="s">
        <v>1650</v>
      </c>
      <c r="B136" s="1622" t="s">
        <v>940</v>
      </c>
      <c r="C136" s="1621">
        <v>43752</v>
      </c>
      <c r="D136" s="1621">
        <v>43752</v>
      </c>
      <c r="E136" s="1628" t="s">
        <v>177</v>
      </c>
      <c r="F136" s="1617" t="s">
        <v>719</v>
      </c>
      <c r="G136" s="1623" t="s">
        <v>916</v>
      </c>
      <c r="H136" s="1619">
        <v>613</v>
      </c>
      <c r="I136" s="1624">
        <v>613</v>
      </c>
      <c r="J136" s="1617"/>
      <c r="K136" s="1629" t="s">
        <v>917</v>
      </c>
      <c r="L136" s="1620">
        <v>26</v>
      </c>
      <c r="M136" s="1620">
        <v>104</v>
      </c>
      <c r="N136" s="1618">
        <v>43770</v>
      </c>
    </row>
    <row r="137" spans="1:19">
      <c r="A137" s="1616" t="s">
        <v>1650</v>
      </c>
      <c r="B137" s="1622" t="s">
        <v>940</v>
      </c>
      <c r="C137" s="1621">
        <v>43752</v>
      </c>
      <c r="D137" s="1621">
        <v>43752</v>
      </c>
      <c r="E137" s="1617" t="s">
        <v>159</v>
      </c>
      <c r="F137" s="1617" t="s">
        <v>719</v>
      </c>
      <c r="G137" s="1623" t="s">
        <v>918</v>
      </c>
      <c r="H137" s="1619">
        <v>23</v>
      </c>
      <c r="I137" s="1624">
        <v>23</v>
      </c>
      <c r="J137" s="1619" t="s">
        <v>926</v>
      </c>
      <c r="K137" s="1617" t="s">
        <v>917</v>
      </c>
      <c r="L137" s="1620">
        <v>6</v>
      </c>
      <c r="M137" s="1620">
        <v>24</v>
      </c>
      <c r="N137" s="1618">
        <v>43770</v>
      </c>
    </row>
    <row r="138" spans="1:19">
      <c r="A138" s="1617" t="s">
        <v>1651</v>
      </c>
      <c r="B138" s="1622">
        <v>45</v>
      </c>
      <c r="C138" s="1621">
        <v>43752</v>
      </c>
      <c r="D138" s="1621">
        <v>43752</v>
      </c>
      <c r="E138" s="1628" t="s">
        <v>177</v>
      </c>
      <c r="F138" s="1617" t="s">
        <v>719</v>
      </c>
      <c r="G138" s="1623" t="s">
        <v>916</v>
      </c>
      <c r="H138" s="1619">
        <v>371</v>
      </c>
      <c r="I138" s="1624">
        <v>371</v>
      </c>
      <c r="J138" s="1617"/>
      <c r="K138" s="1629" t="s">
        <v>917</v>
      </c>
      <c r="L138" s="1620">
        <v>26</v>
      </c>
      <c r="M138" s="1620">
        <v>104</v>
      </c>
      <c r="N138" s="1618">
        <v>43770</v>
      </c>
    </row>
    <row r="139" spans="1:19">
      <c r="A139" s="1626" t="s">
        <v>1651</v>
      </c>
      <c r="B139" s="1622">
        <v>45</v>
      </c>
      <c r="C139" s="1621">
        <v>43752</v>
      </c>
      <c r="D139" s="1621">
        <v>43752</v>
      </c>
      <c r="E139" s="1617" t="s">
        <v>159</v>
      </c>
      <c r="F139" s="1617" t="s">
        <v>719</v>
      </c>
      <c r="G139" s="1623" t="s">
        <v>918</v>
      </c>
      <c r="H139" s="1619">
        <v>33</v>
      </c>
      <c r="I139" s="1624">
        <v>33</v>
      </c>
      <c r="J139" s="1619"/>
      <c r="K139" s="1617" t="s">
        <v>917</v>
      </c>
      <c r="L139" s="1620">
        <v>6</v>
      </c>
      <c r="M139" s="1620">
        <v>24</v>
      </c>
      <c r="N139" s="1618">
        <v>43770</v>
      </c>
    </row>
    <row r="140" spans="1:19">
      <c r="A140" s="1617" t="s">
        <v>1652</v>
      </c>
      <c r="B140" s="1622">
        <v>90</v>
      </c>
      <c r="C140" s="1621">
        <v>43752</v>
      </c>
      <c r="D140" s="1621">
        <v>43752</v>
      </c>
      <c r="E140" s="1628" t="s">
        <v>177</v>
      </c>
      <c r="F140" s="1617" t="s">
        <v>719</v>
      </c>
      <c r="G140" s="1623" t="s">
        <v>916</v>
      </c>
      <c r="H140" s="1619">
        <v>650</v>
      </c>
      <c r="I140" s="1624">
        <v>650</v>
      </c>
      <c r="J140" s="1617"/>
      <c r="K140" s="1629" t="s">
        <v>917</v>
      </c>
      <c r="L140" s="1620">
        <v>26</v>
      </c>
      <c r="M140" s="1620">
        <v>104</v>
      </c>
      <c r="N140" s="1618">
        <v>43770</v>
      </c>
    </row>
    <row r="141" spans="1:19">
      <c r="A141" s="1617" t="s">
        <v>1652</v>
      </c>
      <c r="B141" s="1622">
        <v>90</v>
      </c>
      <c r="C141" s="1621">
        <v>43752</v>
      </c>
      <c r="D141" s="1621">
        <v>43752</v>
      </c>
      <c r="E141" s="1617" t="s">
        <v>159</v>
      </c>
      <c r="F141" s="1617" t="s">
        <v>719</v>
      </c>
      <c r="G141" s="1623" t="s">
        <v>918</v>
      </c>
      <c r="H141" s="1619">
        <v>18</v>
      </c>
      <c r="I141" s="1624">
        <v>18</v>
      </c>
      <c r="J141" s="1619" t="s">
        <v>926</v>
      </c>
      <c r="K141" s="1617" t="s">
        <v>917</v>
      </c>
      <c r="L141" s="1620">
        <v>6</v>
      </c>
      <c r="M141" s="1620">
        <v>24</v>
      </c>
      <c r="N141" s="1618">
        <v>43770</v>
      </c>
    </row>
    <row r="142" spans="1:19">
      <c r="A142" s="1626" t="s">
        <v>1653</v>
      </c>
      <c r="B142" s="1627" t="s">
        <v>941</v>
      </c>
      <c r="C142" s="1621">
        <v>43752</v>
      </c>
      <c r="D142" s="1621">
        <v>43752</v>
      </c>
      <c r="E142" s="1628" t="s">
        <v>177</v>
      </c>
      <c r="F142" s="1617" t="s">
        <v>719</v>
      </c>
      <c r="G142" s="1623" t="s">
        <v>916</v>
      </c>
      <c r="H142" s="1619">
        <v>606</v>
      </c>
      <c r="I142" s="1624">
        <v>606</v>
      </c>
      <c r="J142" s="1617"/>
      <c r="K142" s="1629" t="s">
        <v>917</v>
      </c>
      <c r="L142" s="1620">
        <v>26</v>
      </c>
      <c r="M142" s="1620">
        <v>104</v>
      </c>
      <c r="N142" s="1618">
        <v>43770</v>
      </c>
    </row>
    <row r="143" spans="1:19">
      <c r="A143" s="1626" t="s">
        <v>1653</v>
      </c>
      <c r="B143" s="1627" t="s">
        <v>941</v>
      </c>
      <c r="C143" s="1621">
        <v>43752</v>
      </c>
      <c r="D143" s="1621">
        <v>43752</v>
      </c>
      <c r="E143" s="1617" t="s">
        <v>159</v>
      </c>
      <c r="F143" s="1617" t="s">
        <v>719</v>
      </c>
      <c r="G143" s="1623" t="s">
        <v>918</v>
      </c>
      <c r="H143" s="1619">
        <v>64</v>
      </c>
      <c r="I143" s="1624">
        <v>64</v>
      </c>
      <c r="J143" s="1619"/>
      <c r="K143" s="1617" t="s">
        <v>917</v>
      </c>
      <c r="L143" s="1620">
        <v>6</v>
      </c>
      <c r="M143" s="1620">
        <v>24</v>
      </c>
      <c r="N143" s="1618">
        <v>43770</v>
      </c>
    </row>
    <row r="144" spans="1:19">
      <c r="A144" s="1617" t="s">
        <v>1654</v>
      </c>
      <c r="B144" s="1622" t="s">
        <v>942</v>
      </c>
      <c r="C144" s="1621">
        <v>43752</v>
      </c>
      <c r="D144" s="1621">
        <v>43752</v>
      </c>
      <c r="E144" s="1628" t="s">
        <v>177</v>
      </c>
      <c r="F144" s="1617" t="s">
        <v>719</v>
      </c>
      <c r="G144" s="1623" t="s">
        <v>916</v>
      </c>
      <c r="H144" s="1619">
        <v>453</v>
      </c>
      <c r="I144" s="1624">
        <v>453</v>
      </c>
      <c r="J144" s="1617"/>
      <c r="K144" s="1629" t="s">
        <v>917</v>
      </c>
      <c r="L144" s="1620">
        <v>26</v>
      </c>
      <c r="M144" s="1620">
        <v>104</v>
      </c>
      <c r="N144" s="1618">
        <v>43770</v>
      </c>
    </row>
    <row r="145" spans="1:14">
      <c r="A145" s="1617" t="s">
        <v>1654</v>
      </c>
      <c r="B145" s="1622" t="s">
        <v>942</v>
      </c>
      <c r="C145" s="1621">
        <v>43752</v>
      </c>
      <c r="D145" s="1621">
        <v>43752</v>
      </c>
      <c r="E145" s="1617" t="s">
        <v>159</v>
      </c>
      <c r="F145" s="1617" t="s">
        <v>719</v>
      </c>
      <c r="G145" s="1623" t="s">
        <v>918</v>
      </c>
      <c r="H145" s="1619">
        <v>61</v>
      </c>
      <c r="I145" s="1624">
        <v>61</v>
      </c>
      <c r="J145" s="1619"/>
      <c r="K145" s="1617" t="s">
        <v>917</v>
      </c>
      <c r="L145" s="1620">
        <v>6</v>
      </c>
      <c r="M145" s="1620">
        <v>24</v>
      </c>
      <c r="N145" s="1618">
        <v>43770</v>
      </c>
    </row>
    <row r="146" spans="1:14">
      <c r="A146" s="1636" t="s">
        <v>1658</v>
      </c>
      <c r="B146" s="1642" t="s">
        <v>939</v>
      </c>
      <c r="C146" s="1641">
        <v>43783</v>
      </c>
      <c r="D146" s="1641">
        <v>43783</v>
      </c>
      <c r="E146" s="1648" t="s">
        <v>177</v>
      </c>
      <c r="F146" s="1637" t="s">
        <v>719</v>
      </c>
      <c r="G146" s="1643" t="s">
        <v>916</v>
      </c>
      <c r="H146" s="1639">
        <v>404</v>
      </c>
      <c r="I146" s="1644">
        <v>404</v>
      </c>
      <c r="J146" s="1637"/>
      <c r="K146" s="1649" t="s">
        <v>917</v>
      </c>
      <c r="L146" s="1640">
        <v>26</v>
      </c>
      <c r="M146" s="1640">
        <v>104</v>
      </c>
      <c r="N146" s="1638">
        <v>43789</v>
      </c>
    </row>
    <row r="147" spans="1:14">
      <c r="A147" s="1636" t="s">
        <v>1658</v>
      </c>
      <c r="B147" s="1642" t="s">
        <v>939</v>
      </c>
      <c r="C147" s="1641">
        <v>43783</v>
      </c>
      <c r="D147" s="1641">
        <v>43783</v>
      </c>
      <c r="E147" s="1637" t="s">
        <v>159</v>
      </c>
      <c r="F147" s="1637" t="s">
        <v>719</v>
      </c>
      <c r="G147" s="1643" t="s">
        <v>918</v>
      </c>
      <c r="H147" s="1639">
        <v>6</v>
      </c>
      <c r="I147" s="1644"/>
      <c r="J147" s="1639" t="s">
        <v>919</v>
      </c>
      <c r="K147" s="1637" t="s">
        <v>917</v>
      </c>
      <c r="L147" s="1640">
        <v>6</v>
      </c>
      <c r="M147" s="1640">
        <v>24</v>
      </c>
      <c r="N147" s="1638">
        <v>43789</v>
      </c>
    </row>
    <row r="148" spans="1:14">
      <c r="A148" s="1646" t="s">
        <v>1659</v>
      </c>
      <c r="B148" s="1642" t="s">
        <v>940</v>
      </c>
      <c r="C148" s="1641">
        <v>43783</v>
      </c>
      <c r="D148" s="1641">
        <v>43783</v>
      </c>
      <c r="E148" s="1648" t="s">
        <v>177</v>
      </c>
      <c r="F148" s="1637" t="s">
        <v>719</v>
      </c>
      <c r="G148" s="1643" t="s">
        <v>916</v>
      </c>
      <c r="H148" s="1639">
        <v>718</v>
      </c>
      <c r="I148" s="1644">
        <v>718</v>
      </c>
      <c r="J148" s="1637"/>
      <c r="K148" s="1649" t="s">
        <v>917</v>
      </c>
      <c r="L148" s="1640">
        <v>26</v>
      </c>
      <c r="M148" s="1640">
        <v>104</v>
      </c>
      <c r="N148" s="1638">
        <v>43789</v>
      </c>
    </row>
    <row r="149" spans="1:14">
      <c r="A149" s="1636" t="s">
        <v>1659</v>
      </c>
      <c r="B149" s="1642" t="s">
        <v>940</v>
      </c>
      <c r="C149" s="1641">
        <v>43783</v>
      </c>
      <c r="D149" s="1641">
        <v>43783</v>
      </c>
      <c r="E149" s="1637" t="s">
        <v>159</v>
      </c>
      <c r="F149" s="1637" t="s">
        <v>719</v>
      </c>
      <c r="G149" s="1643" t="s">
        <v>918</v>
      </c>
      <c r="H149" s="1639">
        <v>16</v>
      </c>
      <c r="I149" s="1644">
        <v>16</v>
      </c>
      <c r="J149" s="1639" t="s">
        <v>926</v>
      </c>
      <c r="K149" s="1637" t="s">
        <v>917</v>
      </c>
      <c r="L149" s="1640">
        <v>6</v>
      </c>
      <c r="M149" s="1640">
        <v>24</v>
      </c>
      <c r="N149" s="1638">
        <v>43789</v>
      </c>
    </row>
    <row r="150" spans="1:14">
      <c r="A150" s="1637" t="s">
        <v>1660</v>
      </c>
      <c r="B150" s="1642">
        <v>45</v>
      </c>
      <c r="C150" s="1641">
        <v>43783</v>
      </c>
      <c r="D150" s="1641">
        <v>43783</v>
      </c>
      <c r="E150" s="1648" t="s">
        <v>177</v>
      </c>
      <c r="F150" s="1637" t="s">
        <v>719</v>
      </c>
      <c r="G150" s="1643" t="s">
        <v>916</v>
      </c>
      <c r="H150" s="1639">
        <v>426</v>
      </c>
      <c r="I150" s="1644">
        <v>426</v>
      </c>
      <c r="J150" s="1637"/>
      <c r="K150" s="1649" t="s">
        <v>917</v>
      </c>
      <c r="L150" s="1640">
        <v>26</v>
      </c>
      <c r="M150" s="1640">
        <v>104</v>
      </c>
      <c r="N150" s="1638">
        <v>43789</v>
      </c>
    </row>
    <row r="151" spans="1:14">
      <c r="A151" s="1646" t="s">
        <v>1660</v>
      </c>
      <c r="B151" s="1642">
        <v>45</v>
      </c>
      <c r="C151" s="1641">
        <v>43783</v>
      </c>
      <c r="D151" s="1641">
        <v>43783</v>
      </c>
      <c r="E151" s="1637" t="s">
        <v>159</v>
      </c>
      <c r="F151" s="1637" t="s">
        <v>719</v>
      </c>
      <c r="G151" s="1643" t="s">
        <v>918</v>
      </c>
      <c r="H151" s="1639">
        <v>21</v>
      </c>
      <c r="I151" s="1644">
        <v>21</v>
      </c>
      <c r="J151" s="1639" t="s">
        <v>926</v>
      </c>
      <c r="K151" s="1637" t="s">
        <v>917</v>
      </c>
      <c r="L151" s="1640">
        <v>6</v>
      </c>
      <c r="M151" s="1640">
        <v>24</v>
      </c>
      <c r="N151" s="1638">
        <v>43789</v>
      </c>
    </row>
    <row r="152" spans="1:14">
      <c r="A152" s="1637" t="s">
        <v>1661</v>
      </c>
      <c r="B152" s="1642">
        <v>90</v>
      </c>
      <c r="C152" s="1641">
        <v>43783</v>
      </c>
      <c r="D152" s="1641">
        <v>43783</v>
      </c>
      <c r="E152" s="1648" t="s">
        <v>177</v>
      </c>
      <c r="F152" s="1637" t="s">
        <v>719</v>
      </c>
      <c r="G152" s="1643" t="s">
        <v>916</v>
      </c>
      <c r="H152" s="1639">
        <v>779</v>
      </c>
      <c r="I152" s="1644">
        <v>779</v>
      </c>
      <c r="J152" s="1637"/>
      <c r="K152" s="1649" t="s">
        <v>917</v>
      </c>
      <c r="L152" s="1640">
        <v>26</v>
      </c>
      <c r="M152" s="1640">
        <v>104</v>
      </c>
      <c r="N152" s="1638">
        <v>43789</v>
      </c>
    </row>
    <row r="153" spans="1:14">
      <c r="A153" s="1637" t="s">
        <v>1661</v>
      </c>
      <c r="B153" s="1642">
        <v>90</v>
      </c>
      <c r="C153" s="1641">
        <v>43783</v>
      </c>
      <c r="D153" s="1641">
        <v>43783</v>
      </c>
      <c r="E153" s="1637" t="s">
        <v>159</v>
      </c>
      <c r="F153" s="1637" t="s">
        <v>719</v>
      </c>
      <c r="G153" s="1643" t="s">
        <v>918</v>
      </c>
      <c r="H153" s="1639">
        <v>21</v>
      </c>
      <c r="I153" s="1644">
        <v>21</v>
      </c>
      <c r="J153" s="1639" t="s">
        <v>926</v>
      </c>
      <c r="K153" s="1637" t="s">
        <v>917</v>
      </c>
      <c r="L153" s="1640">
        <v>6</v>
      </c>
      <c r="M153" s="1640">
        <v>24</v>
      </c>
      <c r="N153" s="1638">
        <v>43789</v>
      </c>
    </row>
    <row r="154" spans="1:14">
      <c r="A154" s="1646" t="s">
        <v>1662</v>
      </c>
      <c r="B154" s="1647" t="s">
        <v>941</v>
      </c>
      <c r="C154" s="1641">
        <v>43783</v>
      </c>
      <c r="D154" s="1641">
        <v>43783</v>
      </c>
      <c r="E154" s="1648" t="s">
        <v>177</v>
      </c>
      <c r="F154" s="1637" t="s">
        <v>719</v>
      </c>
      <c r="G154" s="1643" t="s">
        <v>916</v>
      </c>
      <c r="H154" s="1639">
        <v>565</v>
      </c>
      <c r="I154" s="1644">
        <v>565</v>
      </c>
      <c r="J154" s="1637"/>
      <c r="K154" s="1649" t="s">
        <v>917</v>
      </c>
      <c r="L154" s="1640">
        <v>26</v>
      </c>
      <c r="M154" s="1640">
        <v>104</v>
      </c>
      <c r="N154" s="1638">
        <v>43789</v>
      </c>
    </row>
    <row r="155" spans="1:14">
      <c r="A155" s="1646" t="s">
        <v>1662</v>
      </c>
      <c r="B155" s="1647" t="s">
        <v>941</v>
      </c>
      <c r="C155" s="1641">
        <v>43783</v>
      </c>
      <c r="D155" s="1641">
        <v>43783</v>
      </c>
      <c r="E155" s="1637" t="s">
        <v>159</v>
      </c>
      <c r="F155" s="1637" t="s">
        <v>719</v>
      </c>
      <c r="G155" s="1643" t="s">
        <v>918</v>
      </c>
      <c r="H155" s="1639">
        <v>31</v>
      </c>
      <c r="I155" s="1644">
        <v>31</v>
      </c>
      <c r="J155" s="1639"/>
      <c r="K155" s="1637" t="s">
        <v>917</v>
      </c>
      <c r="L155" s="1640">
        <v>6</v>
      </c>
      <c r="M155" s="1640">
        <v>24</v>
      </c>
      <c r="N155" s="1638">
        <v>43789</v>
      </c>
    </row>
    <row r="156" spans="1:14">
      <c r="A156" s="1637" t="s">
        <v>1663</v>
      </c>
      <c r="B156" s="1642" t="s">
        <v>942</v>
      </c>
      <c r="C156" s="1641">
        <v>43783</v>
      </c>
      <c r="D156" s="1641">
        <v>43783</v>
      </c>
      <c r="E156" s="1648" t="s">
        <v>177</v>
      </c>
      <c r="F156" s="1637" t="s">
        <v>719</v>
      </c>
      <c r="G156" s="1643" t="s">
        <v>916</v>
      </c>
      <c r="H156" s="1639">
        <v>632</v>
      </c>
      <c r="I156" s="1644">
        <v>632</v>
      </c>
      <c r="J156" s="1637"/>
      <c r="K156" s="1649" t="s">
        <v>917</v>
      </c>
      <c r="L156" s="1640">
        <v>26</v>
      </c>
      <c r="M156" s="1640">
        <v>104</v>
      </c>
      <c r="N156" s="1638">
        <v>43789</v>
      </c>
    </row>
    <row r="157" spans="1:14">
      <c r="A157" s="1637" t="s">
        <v>1663</v>
      </c>
      <c r="B157" s="1642" t="s">
        <v>942</v>
      </c>
      <c r="C157" s="1641">
        <v>43783</v>
      </c>
      <c r="D157" s="1641">
        <v>43783</v>
      </c>
      <c r="E157" s="1637" t="s">
        <v>159</v>
      </c>
      <c r="F157" s="1637" t="s">
        <v>719</v>
      </c>
      <c r="G157" s="1643" t="s">
        <v>918</v>
      </c>
      <c r="H157" s="1639">
        <v>37</v>
      </c>
      <c r="I157" s="1644">
        <v>37</v>
      </c>
      <c r="J157" s="1639"/>
      <c r="K157" s="1637" t="s">
        <v>917</v>
      </c>
      <c r="L157" s="1640">
        <v>6</v>
      </c>
      <c r="M157" s="1640">
        <v>24</v>
      </c>
      <c r="N157" s="1638">
        <v>43789</v>
      </c>
    </row>
    <row r="158" spans="1:14">
      <c r="A158" s="1656" t="s">
        <v>1665</v>
      </c>
      <c r="B158" s="1662" t="s">
        <v>939</v>
      </c>
      <c r="C158" s="1661">
        <v>43808</v>
      </c>
      <c r="D158" s="1661">
        <v>43808</v>
      </c>
      <c r="E158" s="1668" t="s">
        <v>177</v>
      </c>
      <c r="F158" s="1657" t="s">
        <v>719</v>
      </c>
      <c r="G158" s="1663" t="s">
        <v>916</v>
      </c>
      <c r="H158" s="1659">
        <v>808</v>
      </c>
      <c r="I158" s="1664">
        <v>808</v>
      </c>
      <c r="J158" s="1657"/>
      <c r="K158" s="1669" t="s">
        <v>917</v>
      </c>
      <c r="L158" s="1660">
        <v>26</v>
      </c>
      <c r="M158" s="1660">
        <v>104</v>
      </c>
      <c r="N158" s="1658">
        <v>43833</v>
      </c>
    </row>
    <row r="159" spans="1:14">
      <c r="A159" s="1656" t="s">
        <v>1665</v>
      </c>
      <c r="B159" s="1662" t="s">
        <v>939</v>
      </c>
      <c r="C159" s="1661">
        <v>43808</v>
      </c>
      <c r="D159" s="1661">
        <v>43808</v>
      </c>
      <c r="E159" s="1657" t="s">
        <v>159</v>
      </c>
      <c r="F159" s="1657" t="s">
        <v>719</v>
      </c>
      <c r="G159" s="1663" t="s">
        <v>918</v>
      </c>
      <c r="H159" s="1659">
        <v>41</v>
      </c>
      <c r="I159" s="1664">
        <v>41</v>
      </c>
      <c r="J159" s="1659"/>
      <c r="K159" s="1657" t="s">
        <v>917</v>
      </c>
      <c r="L159" s="1660">
        <v>6</v>
      </c>
      <c r="M159" s="1660">
        <v>24</v>
      </c>
      <c r="N159" s="1658">
        <v>43833</v>
      </c>
    </row>
    <row r="160" spans="1:14">
      <c r="A160" s="1666" t="s">
        <v>1666</v>
      </c>
      <c r="B160" s="1662" t="s">
        <v>940</v>
      </c>
      <c r="C160" s="1661">
        <v>43808</v>
      </c>
      <c r="D160" s="1661">
        <v>43808</v>
      </c>
      <c r="E160" s="1668" t="s">
        <v>177</v>
      </c>
      <c r="F160" s="1657" t="s">
        <v>719</v>
      </c>
      <c r="G160" s="1663" t="s">
        <v>916</v>
      </c>
      <c r="H160" s="1659">
        <v>825</v>
      </c>
      <c r="I160" s="1664">
        <v>825</v>
      </c>
      <c r="J160" s="1657"/>
      <c r="K160" s="1669" t="s">
        <v>917</v>
      </c>
      <c r="L160" s="1660">
        <v>26</v>
      </c>
      <c r="M160" s="1660">
        <v>104</v>
      </c>
      <c r="N160" s="1658">
        <v>43833</v>
      </c>
    </row>
    <row r="161" spans="1:14">
      <c r="A161" s="1656" t="s">
        <v>1666</v>
      </c>
      <c r="B161" s="1662" t="s">
        <v>940</v>
      </c>
      <c r="C161" s="1661">
        <v>43808</v>
      </c>
      <c r="D161" s="1661">
        <v>43808</v>
      </c>
      <c r="E161" s="1657" t="s">
        <v>159</v>
      </c>
      <c r="F161" s="1657" t="s">
        <v>719</v>
      </c>
      <c r="G161" s="1663" t="s">
        <v>918</v>
      </c>
      <c r="H161" s="1659">
        <v>60</v>
      </c>
      <c r="I161" s="1664">
        <v>60</v>
      </c>
      <c r="J161" s="1659"/>
      <c r="K161" s="1657" t="s">
        <v>917</v>
      </c>
      <c r="L161" s="1660">
        <v>6</v>
      </c>
      <c r="M161" s="1660">
        <v>24</v>
      </c>
      <c r="N161" s="1658">
        <v>43833</v>
      </c>
    </row>
    <row r="162" spans="1:14">
      <c r="A162" s="1657" t="s">
        <v>1667</v>
      </c>
      <c r="B162" s="1662">
        <v>45</v>
      </c>
      <c r="C162" s="1661">
        <v>43808</v>
      </c>
      <c r="D162" s="1661">
        <v>43808</v>
      </c>
      <c r="E162" s="1668" t="s">
        <v>177</v>
      </c>
      <c r="F162" s="1657" t="s">
        <v>719</v>
      </c>
      <c r="G162" s="1663" t="s">
        <v>916</v>
      </c>
      <c r="H162" s="1659">
        <v>474</v>
      </c>
      <c r="I162" s="1664">
        <v>474</v>
      </c>
      <c r="J162" s="1657"/>
      <c r="K162" s="1669" t="s">
        <v>917</v>
      </c>
      <c r="L162" s="1660">
        <v>26</v>
      </c>
      <c r="M162" s="1660">
        <v>104</v>
      </c>
      <c r="N162" s="1658">
        <v>43833</v>
      </c>
    </row>
    <row r="163" spans="1:14">
      <c r="A163" s="1666" t="s">
        <v>1667</v>
      </c>
      <c r="B163" s="1662">
        <v>45</v>
      </c>
      <c r="C163" s="1661">
        <v>43808</v>
      </c>
      <c r="D163" s="1661">
        <v>43808</v>
      </c>
      <c r="E163" s="1657" t="s">
        <v>159</v>
      </c>
      <c r="F163" s="1657" t="s">
        <v>719</v>
      </c>
      <c r="G163" s="1663" t="s">
        <v>918</v>
      </c>
      <c r="H163" s="1659">
        <v>13</v>
      </c>
      <c r="I163" s="1664">
        <v>13</v>
      </c>
      <c r="J163" s="1659" t="s">
        <v>926</v>
      </c>
      <c r="K163" s="1657" t="s">
        <v>917</v>
      </c>
      <c r="L163" s="1660">
        <v>6</v>
      </c>
      <c r="M163" s="1660">
        <v>24</v>
      </c>
      <c r="N163" s="1658">
        <v>43833</v>
      </c>
    </row>
    <row r="164" spans="1:14">
      <c r="A164" s="1657" t="s">
        <v>1668</v>
      </c>
      <c r="B164" s="1662">
        <v>90</v>
      </c>
      <c r="C164" s="1661">
        <v>43808</v>
      </c>
      <c r="D164" s="1661">
        <v>43808</v>
      </c>
      <c r="E164" s="1668" t="s">
        <v>177</v>
      </c>
      <c r="F164" s="1657" t="s">
        <v>719</v>
      </c>
      <c r="G164" s="1663" t="s">
        <v>916</v>
      </c>
      <c r="H164" s="1659">
        <v>835</v>
      </c>
      <c r="I164" s="1664">
        <v>835</v>
      </c>
      <c r="J164" s="1657"/>
      <c r="K164" s="1669" t="s">
        <v>917</v>
      </c>
      <c r="L164" s="1660">
        <v>26</v>
      </c>
      <c r="M164" s="1660">
        <v>104</v>
      </c>
      <c r="N164" s="1658">
        <v>43833</v>
      </c>
    </row>
    <row r="165" spans="1:14">
      <c r="A165" s="1657" t="s">
        <v>1668</v>
      </c>
      <c r="B165" s="1662">
        <v>90</v>
      </c>
      <c r="C165" s="1661">
        <v>43808</v>
      </c>
      <c r="D165" s="1661">
        <v>43808</v>
      </c>
      <c r="E165" s="1657" t="s">
        <v>159</v>
      </c>
      <c r="F165" s="1657" t="s">
        <v>719</v>
      </c>
      <c r="G165" s="1663" t="s">
        <v>918</v>
      </c>
      <c r="H165" s="1659">
        <v>9</v>
      </c>
      <c r="I165" s="1664">
        <v>9</v>
      </c>
      <c r="J165" s="1659" t="s">
        <v>926</v>
      </c>
      <c r="K165" s="1657" t="s">
        <v>917</v>
      </c>
      <c r="L165" s="1660">
        <v>6</v>
      </c>
      <c r="M165" s="1660">
        <v>24</v>
      </c>
      <c r="N165" s="1658">
        <v>43833</v>
      </c>
    </row>
    <row r="166" spans="1:14">
      <c r="A166" s="1666" t="s">
        <v>1669</v>
      </c>
      <c r="B166" s="1667" t="s">
        <v>941</v>
      </c>
      <c r="C166" s="1661">
        <v>43808</v>
      </c>
      <c r="D166" s="1661">
        <v>43808</v>
      </c>
      <c r="E166" s="1668" t="s">
        <v>177</v>
      </c>
      <c r="F166" s="1657" t="s">
        <v>719</v>
      </c>
      <c r="G166" s="1663" t="s">
        <v>916</v>
      </c>
      <c r="H166" s="1659">
        <v>576</v>
      </c>
      <c r="I166" s="1664">
        <v>576</v>
      </c>
      <c r="J166" s="1657"/>
      <c r="K166" s="1669" t="s">
        <v>917</v>
      </c>
      <c r="L166" s="1660">
        <v>26</v>
      </c>
      <c r="M166" s="1660">
        <v>104</v>
      </c>
      <c r="N166" s="1658">
        <v>43833</v>
      </c>
    </row>
    <row r="167" spans="1:14">
      <c r="A167" s="1666" t="s">
        <v>1669</v>
      </c>
      <c r="B167" s="1667" t="s">
        <v>941</v>
      </c>
      <c r="C167" s="1661">
        <v>43808</v>
      </c>
      <c r="D167" s="1661">
        <v>43808</v>
      </c>
      <c r="E167" s="1657" t="s">
        <v>159</v>
      </c>
      <c r="F167" s="1657" t="s">
        <v>719</v>
      </c>
      <c r="G167" s="1663" t="s">
        <v>918</v>
      </c>
      <c r="H167" s="1659">
        <v>21</v>
      </c>
      <c r="I167" s="1664">
        <v>21</v>
      </c>
      <c r="J167" s="1659" t="s">
        <v>926</v>
      </c>
      <c r="K167" s="1657" t="s">
        <v>917</v>
      </c>
      <c r="L167" s="1660">
        <v>6</v>
      </c>
      <c r="M167" s="1660">
        <v>24</v>
      </c>
      <c r="N167" s="1658">
        <v>43833</v>
      </c>
    </row>
    <row r="168" spans="1:14">
      <c r="A168" s="1657" t="s">
        <v>1670</v>
      </c>
      <c r="B168" s="1662" t="s">
        <v>942</v>
      </c>
      <c r="C168" s="1661">
        <v>43808</v>
      </c>
      <c r="D168" s="1661">
        <v>43808</v>
      </c>
      <c r="E168" s="1668" t="s">
        <v>177</v>
      </c>
      <c r="F168" s="1657" t="s">
        <v>719</v>
      </c>
      <c r="G168" s="1663" t="s">
        <v>916</v>
      </c>
      <c r="H168" s="1659">
        <v>676</v>
      </c>
      <c r="I168" s="1664">
        <v>676</v>
      </c>
      <c r="J168" s="1657"/>
      <c r="K168" s="1669" t="s">
        <v>917</v>
      </c>
      <c r="L168" s="1660">
        <v>26</v>
      </c>
      <c r="M168" s="1660">
        <v>104</v>
      </c>
      <c r="N168" s="1658">
        <v>43833</v>
      </c>
    </row>
    <row r="169" spans="1:14">
      <c r="A169" s="1657" t="s">
        <v>1670</v>
      </c>
      <c r="B169" s="1662" t="s">
        <v>942</v>
      </c>
      <c r="C169" s="1661">
        <v>43808</v>
      </c>
      <c r="D169" s="1661">
        <v>43808</v>
      </c>
      <c r="E169" s="1657" t="s">
        <v>159</v>
      </c>
      <c r="F169" s="1657" t="s">
        <v>719</v>
      </c>
      <c r="G169" s="1663" t="s">
        <v>918</v>
      </c>
      <c r="H169" s="1659">
        <v>223</v>
      </c>
      <c r="I169" s="1664">
        <v>223</v>
      </c>
      <c r="J169" s="1659"/>
      <c r="K169" s="1657" t="s">
        <v>917</v>
      </c>
      <c r="L169" s="1660">
        <v>6</v>
      </c>
      <c r="M169" s="1660">
        <v>24</v>
      </c>
      <c r="N169" s="1658">
        <v>43833</v>
      </c>
    </row>
    <row r="173" spans="1:14">
      <c r="A173" s="1412" t="s">
        <v>1546</v>
      </c>
      <c r="B173" s="1417">
        <v>45</v>
      </c>
      <c r="C173" s="1416">
        <v>43472</v>
      </c>
      <c r="D173" s="1416">
        <v>43472</v>
      </c>
      <c r="E173" s="1423" t="s">
        <v>1353</v>
      </c>
      <c r="F173" s="1412" t="s">
        <v>719</v>
      </c>
      <c r="G173" s="1418" t="s">
        <v>1354</v>
      </c>
      <c r="H173" s="1429">
        <v>8</v>
      </c>
      <c r="I173" s="1430">
        <v>8</v>
      </c>
      <c r="J173" s="1429"/>
      <c r="K173" s="1412" t="s">
        <v>1355</v>
      </c>
      <c r="L173" s="1415">
        <v>2</v>
      </c>
      <c r="M173" s="1415"/>
      <c r="N173" s="1413">
        <v>43473</v>
      </c>
    </row>
    <row r="174" spans="1:14">
      <c r="A174" s="1412" t="s">
        <v>1547</v>
      </c>
      <c r="B174" s="1417">
        <v>90</v>
      </c>
      <c r="C174" s="1416">
        <v>43472</v>
      </c>
      <c r="D174" s="1416">
        <v>43472</v>
      </c>
      <c r="E174" s="1423" t="s">
        <v>1353</v>
      </c>
      <c r="F174" s="1412" t="s">
        <v>719</v>
      </c>
      <c r="G174" s="1418" t="s">
        <v>1354</v>
      </c>
      <c r="H174" s="1429">
        <v>7</v>
      </c>
      <c r="I174" s="1430">
        <v>7</v>
      </c>
      <c r="J174" s="1429"/>
      <c r="K174" s="1412" t="s">
        <v>1355</v>
      </c>
      <c r="L174" s="1415">
        <v>2</v>
      </c>
      <c r="M174" s="1415"/>
      <c r="N174" s="1413">
        <v>43473</v>
      </c>
    </row>
    <row r="175" spans="1:14">
      <c r="A175" s="435" t="s">
        <v>1555</v>
      </c>
      <c r="B175" s="60">
        <v>45</v>
      </c>
      <c r="C175" s="92">
        <v>43507</v>
      </c>
      <c r="D175" s="92">
        <v>43507</v>
      </c>
      <c r="E175" s="228" t="s">
        <v>1353</v>
      </c>
      <c r="F175" s="435" t="s">
        <v>719</v>
      </c>
      <c r="G175" s="1389" t="s">
        <v>1354</v>
      </c>
      <c r="H175" s="227">
        <v>4</v>
      </c>
      <c r="I175" s="228">
        <v>4</v>
      </c>
      <c r="J175" s="227"/>
      <c r="K175" s="435" t="s">
        <v>1355</v>
      </c>
      <c r="L175" s="174">
        <v>2</v>
      </c>
      <c r="M175" s="174"/>
      <c r="N175" s="175">
        <v>43508</v>
      </c>
    </row>
    <row r="176" spans="1:14">
      <c r="A176" s="435" t="s">
        <v>1556</v>
      </c>
      <c r="B176" s="60">
        <v>90</v>
      </c>
      <c r="C176" s="92">
        <v>43507</v>
      </c>
      <c r="D176" s="92">
        <v>43507</v>
      </c>
      <c r="E176" s="228" t="s">
        <v>1353</v>
      </c>
      <c r="F176" s="435" t="s">
        <v>719</v>
      </c>
      <c r="G176" s="1389" t="s">
        <v>1354</v>
      </c>
      <c r="H176" s="227">
        <v>2</v>
      </c>
      <c r="I176" s="228"/>
      <c r="J176" s="227" t="s">
        <v>919</v>
      </c>
      <c r="K176" s="435" t="s">
        <v>1355</v>
      </c>
      <c r="L176" s="174">
        <v>2</v>
      </c>
      <c r="M176" s="174"/>
      <c r="N176" s="175">
        <v>43508</v>
      </c>
    </row>
    <row r="177" spans="1:14">
      <c r="A177" s="435" t="s">
        <v>1566</v>
      </c>
      <c r="B177" s="60" t="s">
        <v>1567</v>
      </c>
      <c r="C177" s="92">
        <v>43507</v>
      </c>
      <c r="D177" s="92">
        <v>43507</v>
      </c>
      <c r="E177" s="228" t="s">
        <v>1353</v>
      </c>
      <c r="F177" s="435" t="s">
        <v>719</v>
      </c>
      <c r="G177" s="1389" t="s">
        <v>1354</v>
      </c>
      <c r="H177" s="227">
        <v>4</v>
      </c>
      <c r="I177" s="228">
        <v>4</v>
      </c>
      <c r="J177" s="227"/>
      <c r="K177" s="435" t="s">
        <v>1355</v>
      </c>
      <c r="L177" s="174">
        <v>2</v>
      </c>
      <c r="M177" s="174"/>
      <c r="N177" s="175">
        <v>43508</v>
      </c>
    </row>
    <row r="178" spans="1:14">
      <c r="A178" s="1433" t="s">
        <v>1570</v>
      </c>
      <c r="B178" s="1438">
        <v>45</v>
      </c>
      <c r="C178" s="1437">
        <v>43545</v>
      </c>
      <c r="D178" s="1437">
        <v>43545</v>
      </c>
      <c r="E178" s="1444" t="s">
        <v>1353</v>
      </c>
      <c r="F178" s="1433" t="s">
        <v>719</v>
      </c>
      <c r="G178" s="1439" t="s">
        <v>1354</v>
      </c>
      <c r="H178" s="1450">
        <v>2</v>
      </c>
      <c r="I178" s="1451"/>
      <c r="J178" s="1450" t="s">
        <v>919</v>
      </c>
      <c r="K178" s="1433" t="s">
        <v>1355</v>
      </c>
      <c r="L178" s="1436">
        <v>2</v>
      </c>
      <c r="M178" s="1436"/>
      <c r="N178" s="1434">
        <v>43546</v>
      </c>
    </row>
    <row r="179" spans="1:14">
      <c r="A179" s="1433" t="s">
        <v>1571</v>
      </c>
      <c r="B179" s="1438">
        <v>90</v>
      </c>
      <c r="C179" s="1437">
        <v>43545</v>
      </c>
      <c r="D179" s="1437">
        <v>43545</v>
      </c>
      <c r="E179" s="1444" t="s">
        <v>1353</v>
      </c>
      <c r="F179" s="1433" t="s">
        <v>719</v>
      </c>
      <c r="G179" s="1439" t="s">
        <v>1354</v>
      </c>
      <c r="H179" s="1450">
        <v>4</v>
      </c>
      <c r="I179" s="1451">
        <v>4</v>
      </c>
      <c r="J179" s="1450"/>
      <c r="K179" s="1433" t="s">
        <v>1355</v>
      </c>
      <c r="L179" s="1436">
        <v>2</v>
      </c>
      <c r="M179" s="1436"/>
      <c r="N179" s="1434">
        <v>43546</v>
      </c>
    </row>
    <row r="180" spans="1:14">
      <c r="A180" s="1433" t="s">
        <v>1577</v>
      </c>
      <c r="B180" s="1438" t="s">
        <v>1567</v>
      </c>
      <c r="C180" s="1437">
        <v>43545</v>
      </c>
      <c r="D180" s="1437">
        <v>43545</v>
      </c>
      <c r="E180" s="1444" t="s">
        <v>1353</v>
      </c>
      <c r="F180" s="1433" t="s">
        <v>719</v>
      </c>
      <c r="G180" s="1439" t="s">
        <v>1354</v>
      </c>
      <c r="H180" s="1450">
        <v>13</v>
      </c>
      <c r="I180" s="1451">
        <v>13</v>
      </c>
      <c r="J180" s="1450"/>
      <c r="K180" s="1433" t="s">
        <v>1355</v>
      </c>
      <c r="L180" s="1436">
        <v>2</v>
      </c>
      <c r="M180" s="1436"/>
      <c r="N180" s="1434">
        <v>43546</v>
      </c>
    </row>
    <row r="181" spans="1:14">
      <c r="A181" s="1454" t="s">
        <v>1580</v>
      </c>
      <c r="B181" s="1459">
        <v>45</v>
      </c>
      <c r="C181" s="1458">
        <v>43563</v>
      </c>
      <c r="D181" s="1458">
        <v>43563</v>
      </c>
      <c r="E181" s="1465" t="s">
        <v>1353</v>
      </c>
      <c r="F181" s="1454" t="s">
        <v>719</v>
      </c>
      <c r="G181" s="1460" t="s">
        <v>1354</v>
      </c>
      <c r="H181" s="1471">
        <v>2</v>
      </c>
      <c r="I181" s="1472"/>
      <c r="J181" s="1471" t="s">
        <v>919</v>
      </c>
      <c r="K181" s="1454" t="s">
        <v>1355</v>
      </c>
      <c r="L181" s="1457">
        <v>2</v>
      </c>
      <c r="M181" s="1457"/>
      <c r="N181" s="1455">
        <v>43564</v>
      </c>
    </row>
    <row r="182" spans="1:14">
      <c r="A182" s="1454" t="s">
        <v>1581</v>
      </c>
      <c r="B182" s="1459">
        <v>90</v>
      </c>
      <c r="C182" s="1458">
        <v>43563</v>
      </c>
      <c r="D182" s="1458">
        <v>43563</v>
      </c>
      <c r="E182" s="1465" t="s">
        <v>1353</v>
      </c>
      <c r="F182" s="1454" t="s">
        <v>719</v>
      </c>
      <c r="G182" s="1460" t="s">
        <v>1354</v>
      </c>
      <c r="H182" s="1471">
        <v>4</v>
      </c>
      <c r="I182" s="1472">
        <v>4</v>
      </c>
      <c r="J182" s="1471"/>
      <c r="K182" s="1454" t="s">
        <v>1355</v>
      </c>
      <c r="L182" s="1457">
        <v>2</v>
      </c>
      <c r="M182" s="1457"/>
      <c r="N182" s="1455">
        <v>43564</v>
      </c>
    </row>
    <row r="183" spans="1:14">
      <c r="A183" s="1454" t="s">
        <v>1589</v>
      </c>
      <c r="B183" s="1459" t="s">
        <v>1567</v>
      </c>
      <c r="C183" s="1458">
        <v>43563</v>
      </c>
      <c r="D183" s="1458">
        <v>43563</v>
      </c>
      <c r="E183" s="1465" t="s">
        <v>1353</v>
      </c>
      <c r="F183" s="1454" t="s">
        <v>719</v>
      </c>
      <c r="G183" s="1460" t="s">
        <v>1354</v>
      </c>
      <c r="H183" s="1471">
        <v>4</v>
      </c>
      <c r="I183" s="1472">
        <v>4</v>
      </c>
      <c r="J183" s="1471"/>
      <c r="K183" s="1454" t="s">
        <v>1355</v>
      </c>
      <c r="L183" s="1457">
        <v>2</v>
      </c>
      <c r="M183" s="1457"/>
      <c r="N183" s="1455">
        <v>43564</v>
      </c>
    </row>
    <row r="184" spans="1:14">
      <c r="A184" s="1475" t="s">
        <v>1592</v>
      </c>
      <c r="B184" s="1480">
        <v>45</v>
      </c>
      <c r="C184" s="1479">
        <v>43591</v>
      </c>
      <c r="D184" s="1479">
        <v>43591</v>
      </c>
      <c r="E184" s="1486" t="s">
        <v>1353</v>
      </c>
      <c r="F184" s="1475" t="s">
        <v>719</v>
      </c>
      <c r="G184" s="1481" t="s">
        <v>1354</v>
      </c>
      <c r="H184" s="1492">
        <v>2</v>
      </c>
      <c r="I184" s="1493"/>
      <c r="J184" s="1492" t="s">
        <v>919</v>
      </c>
      <c r="K184" s="1475" t="s">
        <v>1355</v>
      </c>
      <c r="L184" s="1478">
        <v>2</v>
      </c>
      <c r="M184" s="1478"/>
      <c r="N184" s="1476">
        <v>43592</v>
      </c>
    </row>
    <row r="185" spans="1:14">
      <c r="A185" s="1475" t="s">
        <v>1593</v>
      </c>
      <c r="B185" s="1480">
        <v>90</v>
      </c>
      <c r="C185" s="1479">
        <v>43591</v>
      </c>
      <c r="D185" s="1479">
        <v>43591</v>
      </c>
      <c r="E185" s="1486" t="s">
        <v>1353</v>
      </c>
      <c r="F185" s="1475" t="s">
        <v>719</v>
      </c>
      <c r="G185" s="1481" t="s">
        <v>1354</v>
      </c>
      <c r="H185" s="1492">
        <v>13</v>
      </c>
      <c r="I185" s="1493">
        <v>13</v>
      </c>
      <c r="J185" s="1492"/>
      <c r="K185" s="1475" t="s">
        <v>1355</v>
      </c>
      <c r="L185" s="1478">
        <v>2</v>
      </c>
      <c r="M185" s="1478"/>
      <c r="N185" s="1476">
        <v>43592</v>
      </c>
    </row>
    <row r="186" spans="1:14">
      <c r="A186" s="1475" t="s">
        <v>1599</v>
      </c>
      <c r="B186" s="1480" t="s">
        <v>1567</v>
      </c>
      <c r="C186" s="1479">
        <v>43591</v>
      </c>
      <c r="D186" s="1479">
        <v>43591</v>
      </c>
      <c r="E186" s="1486" t="s">
        <v>1353</v>
      </c>
      <c r="F186" s="1475" t="s">
        <v>719</v>
      </c>
      <c r="G186" s="1481" t="s">
        <v>1354</v>
      </c>
      <c r="H186" s="1492">
        <v>8</v>
      </c>
      <c r="I186" s="1493">
        <v>8</v>
      </c>
      <c r="J186" s="1492"/>
      <c r="K186" s="1475" t="s">
        <v>1355</v>
      </c>
      <c r="L186" s="1478">
        <v>2</v>
      </c>
      <c r="M186" s="1478"/>
      <c r="N186" s="1476">
        <v>43592</v>
      </c>
    </row>
    <row r="187" spans="1:14">
      <c r="A187" s="1496" t="s">
        <v>1602</v>
      </c>
      <c r="B187" s="1501">
        <v>45</v>
      </c>
      <c r="C187" s="1500">
        <v>43626</v>
      </c>
      <c r="D187" s="1500">
        <v>43626</v>
      </c>
      <c r="E187" s="1507" t="s">
        <v>1353</v>
      </c>
      <c r="F187" s="1496" t="s">
        <v>719</v>
      </c>
      <c r="G187" s="1502" t="s">
        <v>1354</v>
      </c>
      <c r="H187" s="1513">
        <v>4</v>
      </c>
      <c r="I187" s="1514">
        <v>4</v>
      </c>
      <c r="J187" s="1513"/>
      <c r="K187" s="1496" t="s">
        <v>1355</v>
      </c>
      <c r="L187" s="1499">
        <v>2</v>
      </c>
      <c r="M187" s="1499"/>
      <c r="N187" s="1497">
        <v>43627</v>
      </c>
    </row>
    <row r="188" spans="1:14">
      <c r="A188" s="1496" t="s">
        <v>1603</v>
      </c>
      <c r="B188" s="1501">
        <v>90</v>
      </c>
      <c r="C188" s="1500">
        <v>43626</v>
      </c>
      <c r="D188" s="1500">
        <v>43626</v>
      </c>
      <c r="E188" s="1507" t="s">
        <v>1353</v>
      </c>
      <c r="F188" s="1496" t="s">
        <v>719</v>
      </c>
      <c r="G188" s="1502" t="s">
        <v>1354</v>
      </c>
      <c r="H188" s="1513">
        <v>23</v>
      </c>
      <c r="I188" s="1514">
        <v>23</v>
      </c>
      <c r="J188" s="1513"/>
      <c r="K188" s="1496" t="s">
        <v>1355</v>
      </c>
      <c r="L188" s="1499">
        <v>2</v>
      </c>
      <c r="M188" s="1499"/>
      <c r="N188" s="1497">
        <v>43627</v>
      </c>
    </row>
    <row r="189" spans="1:14">
      <c r="A189" s="1496" t="s">
        <v>1611</v>
      </c>
      <c r="B189" s="1501" t="s">
        <v>1567</v>
      </c>
      <c r="C189" s="1500">
        <v>43626</v>
      </c>
      <c r="D189" s="1500">
        <v>43626</v>
      </c>
      <c r="E189" s="1507" t="s">
        <v>1353</v>
      </c>
      <c r="F189" s="1496" t="s">
        <v>719</v>
      </c>
      <c r="G189" s="1502" t="s">
        <v>1354</v>
      </c>
      <c r="H189" s="1513">
        <v>50</v>
      </c>
      <c r="I189" s="1514">
        <v>50</v>
      </c>
      <c r="J189" s="1513"/>
      <c r="K189" s="1496" t="s">
        <v>1355</v>
      </c>
      <c r="L189" s="1499">
        <v>2</v>
      </c>
      <c r="M189" s="1499"/>
      <c r="N189" s="1497">
        <v>43627</v>
      </c>
    </row>
    <row r="190" spans="1:14">
      <c r="A190" s="1536" t="s">
        <v>1620</v>
      </c>
      <c r="B190" s="1541">
        <v>45</v>
      </c>
      <c r="C190" s="1540">
        <v>43654</v>
      </c>
      <c r="D190" s="1540">
        <v>43654</v>
      </c>
      <c r="E190" s="1547" t="s">
        <v>1353</v>
      </c>
      <c r="F190" s="1536" t="s">
        <v>719</v>
      </c>
      <c r="G190" s="1542" t="s">
        <v>1354</v>
      </c>
      <c r="H190" s="1553">
        <v>4</v>
      </c>
      <c r="I190" s="1543">
        <v>4</v>
      </c>
      <c r="J190" s="1553"/>
      <c r="K190" s="1536" t="s">
        <v>1355</v>
      </c>
      <c r="L190" s="1539">
        <v>2</v>
      </c>
      <c r="M190" s="1539"/>
      <c r="N190" s="1537">
        <v>43655</v>
      </c>
    </row>
    <row r="191" spans="1:14">
      <c r="A191" s="1536" t="s">
        <v>1621</v>
      </c>
      <c r="B191" s="1541">
        <v>90</v>
      </c>
      <c r="C191" s="1540">
        <v>43654</v>
      </c>
      <c r="D191" s="1540">
        <v>43654</v>
      </c>
      <c r="E191" s="1547" t="s">
        <v>1353</v>
      </c>
      <c r="F191" s="1536" t="s">
        <v>719</v>
      </c>
      <c r="G191" s="1542" t="s">
        <v>1354</v>
      </c>
      <c r="H191" s="1553">
        <v>23</v>
      </c>
      <c r="I191" s="1554">
        <v>23</v>
      </c>
      <c r="J191" s="1553"/>
      <c r="K191" s="1536" t="s">
        <v>1355</v>
      </c>
      <c r="L191" s="1539">
        <v>2</v>
      </c>
      <c r="M191" s="1539"/>
      <c r="N191" s="1537">
        <v>43655</v>
      </c>
    </row>
    <row r="192" spans="1:14">
      <c r="A192" s="1536" t="s">
        <v>1624</v>
      </c>
      <c r="B192" s="1541" t="s">
        <v>1567</v>
      </c>
      <c r="C192" s="1540">
        <v>43654</v>
      </c>
      <c r="D192" s="1540">
        <v>43654</v>
      </c>
      <c r="E192" s="1547" t="s">
        <v>1353</v>
      </c>
      <c r="F192" s="1536" t="s">
        <v>719</v>
      </c>
      <c r="G192" s="1542" t="s">
        <v>1354</v>
      </c>
      <c r="H192" s="1553">
        <v>50</v>
      </c>
      <c r="I192" s="1554">
        <v>50</v>
      </c>
      <c r="J192" s="1553"/>
      <c r="K192" s="1536" t="s">
        <v>1355</v>
      </c>
      <c r="L192" s="1539">
        <v>2</v>
      </c>
      <c r="M192" s="1539"/>
      <c r="N192" s="1537">
        <v>43655</v>
      </c>
    </row>
    <row r="193" spans="1:14">
      <c r="A193" s="1556" t="s">
        <v>1627</v>
      </c>
      <c r="B193" s="1561">
        <v>45</v>
      </c>
      <c r="C193" s="1560">
        <v>43682</v>
      </c>
      <c r="D193" s="1560">
        <v>43682</v>
      </c>
      <c r="E193" s="1567" t="s">
        <v>1353</v>
      </c>
      <c r="F193" s="1556" t="s">
        <v>719</v>
      </c>
      <c r="G193" s="1562" t="s">
        <v>1354</v>
      </c>
      <c r="H193" s="1573">
        <v>2</v>
      </c>
      <c r="I193" s="1563"/>
      <c r="J193" s="1573" t="s">
        <v>919</v>
      </c>
      <c r="K193" s="1556" t="s">
        <v>1355</v>
      </c>
      <c r="L193" s="1559">
        <v>2</v>
      </c>
      <c r="M193" s="1559"/>
      <c r="N193" s="1557">
        <v>43683</v>
      </c>
    </row>
    <row r="194" spans="1:14">
      <c r="A194" s="1556" t="s">
        <v>1628</v>
      </c>
      <c r="B194" s="1561">
        <v>90</v>
      </c>
      <c r="C194" s="1560">
        <v>43682</v>
      </c>
      <c r="D194" s="1560">
        <v>43682</v>
      </c>
      <c r="E194" s="1567" t="s">
        <v>1353</v>
      </c>
      <c r="F194" s="1556" t="s">
        <v>719</v>
      </c>
      <c r="G194" s="1562" t="s">
        <v>1354</v>
      </c>
      <c r="H194" s="1573">
        <v>23</v>
      </c>
      <c r="I194" s="1574">
        <v>23</v>
      </c>
      <c r="J194" s="1573"/>
      <c r="K194" s="1556" t="s">
        <v>1355</v>
      </c>
      <c r="L194" s="1559">
        <v>2</v>
      </c>
      <c r="M194" s="1559"/>
      <c r="N194" s="1557">
        <v>43683</v>
      </c>
    </row>
    <row r="195" spans="1:14">
      <c r="A195" s="1556" t="s">
        <v>1633</v>
      </c>
      <c r="B195" s="1561" t="s">
        <v>1567</v>
      </c>
      <c r="C195" s="1560">
        <v>43682</v>
      </c>
      <c r="D195" s="1560">
        <v>43682</v>
      </c>
      <c r="E195" s="1567" t="s">
        <v>1353</v>
      </c>
      <c r="F195" s="1556" t="s">
        <v>719</v>
      </c>
      <c r="G195" s="1562" t="s">
        <v>1354</v>
      </c>
      <c r="H195" s="1573">
        <v>23</v>
      </c>
      <c r="I195" s="1563">
        <v>23</v>
      </c>
      <c r="J195" s="1573"/>
      <c r="K195" s="1556" t="s">
        <v>1355</v>
      </c>
      <c r="L195" s="1559">
        <v>2</v>
      </c>
      <c r="M195" s="1559"/>
      <c r="N195" s="1557">
        <v>43683</v>
      </c>
    </row>
    <row r="196" spans="1:14">
      <c r="A196" s="1576" t="s">
        <v>1636</v>
      </c>
      <c r="B196" s="1581">
        <v>45</v>
      </c>
      <c r="C196" s="1580">
        <v>43717</v>
      </c>
      <c r="D196" s="1580">
        <v>43717</v>
      </c>
      <c r="E196" s="1587" t="s">
        <v>1353</v>
      </c>
      <c r="F196" s="1576" t="s">
        <v>719</v>
      </c>
      <c r="G196" s="1582" t="s">
        <v>1354</v>
      </c>
      <c r="H196" s="1593">
        <v>2</v>
      </c>
      <c r="I196" s="1594"/>
      <c r="J196" s="1593" t="s">
        <v>919</v>
      </c>
      <c r="K196" s="1576" t="s">
        <v>1355</v>
      </c>
      <c r="L196" s="1579">
        <v>2</v>
      </c>
      <c r="M196" s="1579"/>
      <c r="N196" s="1577">
        <v>43718</v>
      </c>
    </row>
    <row r="197" spans="1:14">
      <c r="A197" s="1576" t="s">
        <v>1571</v>
      </c>
      <c r="B197" s="1581">
        <v>90</v>
      </c>
      <c r="C197" s="1580">
        <v>43717</v>
      </c>
      <c r="D197" s="1580">
        <v>43717</v>
      </c>
      <c r="E197" s="1587" t="s">
        <v>1353</v>
      </c>
      <c r="F197" s="1576" t="s">
        <v>719</v>
      </c>
      <c r="G197" s="1582" t="s">
        <v>1354</v>
      </c>
      <c r="H197" s="1593">
        <v>240</v>
      </c>
      <c r="I197" s="1594">
        <v>240</v>
      </c>
      <c r="J197" s="1593"/>
      <c r="K197" s="1576" t="s">
        <v>1355</v>
      </c>
      <c r="L197" s="1579">
        <v>2</v>
      </c>
      <c r="M197" s="1579"/>
      <c r="N197" s="1577">
        <v>43718</v>
      </c>
    </row>
    <row r="198" spans="1:14">
      <c r="A198" s="1576" t="s">
        <v>1640</v>
      </c>
      <c r="B198" s="1581" t="s">
        <v>1567</v>
      </c>
      <c r="C198" s="1580">
        <v>43717</v>
      </c>
      <c r="D198" s="1580">
        <v>43717</v>
      </c>
      <c r="E198" s="1587" t="s">
        <v>1353</v>
      </c>
      <c r="F198" s="1576" t="s">
        <v>719</v>
      </c>
      <c r="G198" s="1582" t="s">
        <v>1354</v>
      </c>
      <c r="H198" s="1593">
        <v>30</v>
      </c>
      <c r="I198" s="1594">
        <v>30</v>
      </c>
      <c r="J198" s="1593"/>
      <c r="K198" s="1576" t="s">
        <v>1355</v>
      </c>
      <c r="L198" s="1579">
        <v>2</v>
      </c>
      <c r="M198" s="1579"/>
      <c r="N198" s="1577">
        <v>43718</v>
      </c>
    </row>
    <row r="199" spans="1:14">
      <c r="A199" s="1617" t="s">
        <v>1651</v>
      </c>
      <c r="B199" s="1622">
        <v>45</v>
      </c>
      <c r="C199" s="1621">
        <v>43752</v>
      </c>
      <c r="D199" s="1621">
        <v>43752</v>
      </c>
      <c r="E199" s="1628" t="s">
        <v>1353</v>
      </c>
      <c r="F199" s="1617" t="s">
        <v>719</v>
      </c>
      <c r="G199" s="1623" t="s">
        <v>1354</v>
      </c>
      <c r="H199" s="1634">
        <v>2</v>
      </c>
      <c r="I199" s="1624"/>
      <c r="J199" s="1634" t="s">
        <v>919</v>
      </c>
      <c r="K199" s="1617" t="s">
        <v>1355</v>
      </c>
      <c r="L199" s="1620">
        <v>2</v>
      </c>
      <c r="M199" s="1620"/>
      <c r="N199" s="1618">
        <v>43753</v>
      </c>
    </row>
    <row r="200" spans="1:14">
      <c r="A200" s="1617" t="s">
        <v>1652</v>
      </c>
      <c r="B200" s="1622">
        <v>90</v>
      </c>
      <c r="C200" s="1621">
        <v>43752</v>
      </c>
      <c r="D200" s="1621">
        <v>43752</v>
      </c>
      <c r="E200" s="1628" t="s">
        <v>1353</v>
      </c>
      <c r="F200" s="1617" t="s">
        <v>719</v>
      </c>
      <c r="G200" s="1623" t="s">
        <v>1354</v>
      </c>
      <c r="H200" s="1634">
        <v>30</v>
      </c>
      <c r="I200" s="1635">
        <v>30</v>
      </c>
      <c r="J200" s="1634"/>
      <c r="K200" s="1617" t="s">
        <v>1355</v>
      </c>
      <c r="L200" s="1620">
        <v>2</v>
      </c>
      <c r="M200" s="1620"/>
      <c r="N200" s="1618">
        <v>43753</v>
      </c>
    </row>
    <row r="201" spans="1:14">
      <c r="A201" s="1617" t="s">
        <v>1657</v>
      </c>
      <c r="B201" s="1622" t="s">
        <v>1567</v>
      </c>
      <c r="C201" s="1621">
        <v>43752</v>
      </c>
      <c r="D201" s="1621">
        <v>43752</v>
      </c>
      <c r="E201" s="1628" t="s">
        <v>1353</v>
      </c>
      <c r="F201" s="1617" t="s">
        <v>719</v>
      </c>
      <c r="G201" s="1623" t="s">
        <v>1354</v>
      </c>
      <c r="H201" s="1634">
        <v>23</v>
      </c>
      <c r="I201" s="1624">
        <v>23</v>
      </c>
      <c r="J201" s="1634"/>
      <c r="K201" s="1617" t="s">
        <v>1355</v>
      </c>
      <c r="L201" s="1620">
        <v>2</v>
      </c>
      <c r="M201" s="1620"/>
      <c r="N201" s="1618">
        <v>43753</v>
      </c>
    </row>
    <row r="202" spans="1:14">
      <c r="A202" s="1637" t="s">
        <v>1660</v>
      </c>
      <c r="B202" s="1642">
        <v>45</v>
      </c>
      <c r="C202" s="1641">
        <v>43783</v>
      </c>
      <c r="D202" s="1641">
        <v>43783</v>
      </c>
      <c r="E202" s="1648" t="s">
        <v>1353</v>
      </c>
      <c r="F202" s="1637" t="s">
        <v>719</v>
      </c>
      <c r="G202" s="1643" t="s">
        <v>1354</v>
      </c>
      <c r="H202" s="1654">
        <v>2</v>
      </c>
      <c r="I202" s="1644">
        <v>2</v>
      </c>
      <c r="J202" s="1654"/>
      <c r="K202" s="1637" t="s">
        <v>1355</v>
      </c>
      <c r="L202" s="1640">
        <v>2</v>
      </c>
      <c r="M202" s="1640"/>
      <c r="N202" s="1638">
        <v>43784</v>
      </c>
    </row>
    <row r="203" spans="1:14">
      <c r="A203" s="1637" t="s">
        <v>1661</v>
      </c>
      <c r="B203" s="1642">
        <v>90</v>
      </c>
      <c r="C203" s="1641">
        <v>43783</v>
      </c>
      <c r="D203" s="1641">
        <v>43783</v>
      </c>
      <c r="E203" s="1648" t="s">
        <v>1353</v>
      </c>
      <c r="F203" s="1637" t="s">
        <v>719</v>
      </c>
      <c r="G203" s="1643" t="s">
        <v>1354</v>
      </c>
      <c r="H203" s="1654">
        <v>4</v>
      </c>
      <c r="I203" s="1655">
        <v>4</v>
      </c>
      <c r="J203" s="1654"/>
      <c r="K203" s="1637" t="s">
        <v>1355</v>
      </c>
      <c r="L203" s="1640">
        <v>2</v>
      </c>
      <c r="M203" s="1640"/>
      <c r="N203" s="1638">
        <v>43784</v>
      </c>
    </row>
    <row r="204" spans="1:14">
      <c r="A204" s="1637" t="s">
        <v>1664</v>
      </c>
      <c r="B204" s="1642" t="s">
        <v>1567</v>
      </c>
      <c r="C204" s="1641">
        <v>43783</v>
      </c>
      <c r="D204" s="1641">
        <v>43783</v>
      </c>
      <c r="E204" s="1648" t="s">
        <v>1353</v>
      </c>
      <c r="F204" s="1637" t="s">
        <v>719</v>
      </c>
      <c r="G204" s="1643" t="s">
        <v>1354</v>
      </c>
      <c r="H204" s="1654">
        <v>2</v>
      </c>
      <c r="I204" s="1644">
        <v>2</v>
      </c>
      <c r="J204" s="1654"/>
      <c r="K204" s="1637" t="s">
        <v>1355</v>
      </c>
      <c r="L204" s="1640">
        <v>2</v>
      </c>
      <c r="M204" s="1640"/>
      <c r="N204" s="1638">
        <v>43784</v>
      </c>
    </row>
    <row r="205" spans="1:14">
      <c r="A205" s="1657" t="s">
        <v>1667</v>
      </c>
      <c r="B205" s="1662">
        <v>45</v>
      </c>
      <c r="C205" s="1661">
        <v>43808</v>
      </c>
      <c r="D205" s="1661">
        <v>43808</v>
      </c>
      <c r="E205" s="1668" t="s">
        <v>1353</v>
      </c>
      <c r="F205" s="1657" t="s">
        <v>719</v>
      </c>
      <c r="G205" s="1663" t="s">
        <v>1354</v>
      </c>
      <c r="H205" s="1674">
        <v>2</v>
      </c>
      <c r="I205" s="1664"/>
      <c r="J205" s="1674" t="s">
        <v>919</v>
      </c>
      <c r="K205" s="1657" t="s">
        <v>1355</v>
      </c>
      <c r="L205" s="1660">
        <v>2</v>
      </c>
      <c r="M205" s="1660"/>
      <c r="N205" s="1658">
        <v>43809</v>
      </c>
    </row>
    <row r="206" spans="1:14">
      <c r="A206" s="1657" t="s">
        <v>1668</v>
      </c>
      <c r="B206" s="1662">
        <v>90</v>
      </c>
      <c r="C206" s="1661">
        <v>43808</v>
      </c>
      <c r="D206" s="1661">
        <v>43808</v>
      </c>
      <c r="E206" s="1668" t="s">
        <v>1353</v>
      </c>
      <c r="F206" s="1657" t="s">
        <v>719</v>
      </c>
      <c r="G206" s="1663" t="s">
        <v>1354</v>
      </c>
      <c r="H206" s="1674">
        <v>13</v>
      </c>
      <c r="I206" s="1675">
        <v>13</v>
      </c>
      <c r="J206" s="1674"/>
      <c r="K206" s="1657" t="s">
        <v>1355</v>
      </c>
      <c r="L206" s="1660">
        <v>2</v>
      </c>
      <c r="M206" s="1660"/>
      <c r="N206" s="1658">
        <v>43809</v>
      </c>
    </row>
    <row r="207" spans="1:14">
      <c r="A207" s="1657" t="s">
        <v>1671</v>
      </c>
      <c r="B207" s="1662" t="s">
        <v>1567</v>
      </c>
      <c r="C207" s="1661">
        <v>43808</v>
      </c>
      <c r="D207" s="1661">
        <v>43808</v>
      </c>
      <c r="E207" s="1668" t="s">
        <v>1353</v>
      </c>
      <c r="F207" s="1657" t="s">
        <v>719</v>
      </c>
      <c r="G207" s="1663" t="s">
        <v>1354</v>
      </c>
      <c r="H207" s="1674">
        <v>2</v>
      </c>
      <c r="I207" s="1664">
        <v>2</v>
      </c>
      <c r="J207" s="1674"/>
      <c r="K207" s="1657" t="s">
        <v>1355</v>
      </c>
      <c r="L207" s="1660">
        <v>2</v>
      </c>
      <c r="M207" s="1660"/>
      <c r="N207" s="1658">
        <v>43809</v>
      </c>
    </row>
    <row r="209" spans="1:30">
      <c r="A209" s="1421" t="s">
        <v>1548</v>
      </c>
      <c r="B209" s="1417" t="s">
        <v>941</v>
      </c>
      <c r="C209" s="1416">
        <v>43472</v>
      </c>
      <c r="D209" s="1416">
        <v>43472</v>
      </c>
      <c r="E209" s="1423" t="s">
        <v>160</v>
      </c>
      <c r="F209" s="1421" t="s">
        <v>719</v>
      </c>
      <c r="G209" s="1425" t="s">
        <v>921</v>
      </c>
      <c r="H209" s="1426">
        <v>20</v>
      </c>
      <c r="I209" s="1428">
        <v>20</v>
      </c>
      <c r="J209" s="1420"/>
      <c r="K209" s="1412" t="s">
        <v>917</v>
      </c>
      <c r="L209" s="1427">
        <v>0.1</v>
      </c>
      <c r="M209" s="1427"/>
      <c r="N209" s="1413">
        <v>43494</v>
      </c>
      <c r="P209" s="1405">
        <v>43472</v>
      </c>
      <c r="Q209" s="1405">
        <v>43507</v>
      </c>
      <c r="R209" s="1405">
        <v>43545</v>
      </c>
      <c r="S209" s="1405">
        <v>43563</v>
      </c>
      <c r="T209" s="1405">
        <v>43591</v>
      </c>
      <c r="U209" s="1405">
        <v>43626</v>
      </c>
      <c r="V209" s="1405">
        <v>43654</v>
      </c>
      <c r="W209" s="1405">
        <v>43661</v>
      </c>
      <c r="X209" s="1405">
        <v>43682</v>
      </c>
      <c r="Y209" s="1405">
        <v>43690</v>
      </c>
      <c r="Z209" s="1405">
        <v>43717</v>
      </c>
      <c r="AA209" s="1405">
        <v>43724</v>
      </c>
      <c r="AB209" s="1405">
        <v>43752</v>
      </c>
      <c r="AC209" s="1405">
        <v>43783</v>
      </c>
      <c r="AD209" s="1405">
        <v>43808</v>
      </c>
    </row>
    <row r="210" spans="1:30">
      <c r="A210" s="1421" t="s">
        <v>1548</v>
      </c>
      <c r="B210" s="1417" t="s">
        <v>941</v>
      </c>
      <c r="C210" s="1416">
        <v>43472</v>
      </c>
      <c r="D210" s="1416">
        <v>43472</v>
      </c>
      <c r="E210" s="1423" t="s">
        <v>160</v>
      </c>
      <c r="F210" s="1421" t="s">
        <v>719</v>
      </c>
      <c r="G210" s="1425" t="s">
        <v>921</v>
      </c>
      <c r="H210" s="1426">
        <v>20.3</v>
      </c>
      <c r="I210" s="1428">
        <v>20.3</v>
      </c>
      <c r="J210" s="1420"/>
      <c r="K210" s="1412" t="s">
        <v>917</v>
      </c>
      <c r="L210" s="1427">
        <v>0.1</v>
      </c>
      <c r="M210" s="1427"/>
      <c r="N210" s="1413">
        <v>43494</v>
      </c>
      <c r="P210">
        <f>AVERAGE(H209:H210)</f>
        <v>20.149999999999999</v>
      </c>
      <c r="Q210">
        <f>AVERAGE(H211:H212)</f>
        <v>19.3</v>
      </c>
      <c r="R210">
        <f>AVERAGE(H213:H214)</f>
        <v>13.75</v>
      </c>
      <c r="S210">
        <f>AVERAGE(I215:I216)</f>
        <v>15.9</v>
      </c>
      <c r="T210">
        <f>AVERAGE(I217:I218)</f>
        <v>1.8</v>
      </c>
      <c r="U210">
        <f>AVERAGE(I219:I220)</f>
        <v>8.9499999999999993</v>
      </c>
      <c r="V210">
        <f>AVERAGE(I221:I222)</f>
        <v>11.5</v>
      </c>
      <c r="W210">
        <f>AVERAGE(I223:I224)</f>
        <v>15.899999999999999</v>
      </c>
      <c r="X210">
        <f>AVERAGE(I225:I226)</f>
        <v>2.25</v>
      </c>
      <c r="Y210">
        <f>AVERAGE(I227:I228)</f>
        <v>4.0999999999999996</v>
      </c>
      <c r="Z210">
        <f>AVERAGE(I229:I230)</f>
        <v>31</v>
      </c>
      <c r="AA210">
        <f>AVERAGE(I231:I232)</f>
        <v>18.600000000000001</v>
      </c>
      <c r="AB210">
        <f>AVERAGE(I233:I234)</f>
        <v>26.65</v>
      </c>
      <c r="AC210">
        <f>AVERAGE(I235:I236)</f>
        <v>25.25</v>
      </c>
      <c r="AD210">
        <f>AVERAGE(I237:I238)</f>
        <v>7.4</v>
      </c>
    </row>
    <row r="211" spans="1:30">
      <c r="A211" s="435" t="s">
        <v>1557</v>
      </c>
      <c r="B211" s="60" t="s">
        <v>941</v>
      </c>
      <c r="C211" s="92">
        <v>43507</v>
      </c>
      <c r="D211" s="92">
        <v>43507</v>
      </c>
      <c r="E211" s="228" t="s">
        <v>160</v>
      </c>
      <c r="F211" s="435" t="s">
        <v>719</v>
      </c>
      <c r="G211" s="1033" t="s">
        <v>921</v>
      </c>
      <c r="H211" s="117">
        <v>20.3</v>
      </c>
      <c r="I211" s="177">
        <v>20.3</v>
      </c>
      <c r="J211" s="436"/>
      <c r="K211" s="435" t="s">
        <v>917</v>
      </c>
      <c r="L211" s="232">
        <v>0.1</v>
      </c>
      <c r="M211" s="232"/>
      <c r="N211" s="175">
        <v>43531</v>
      </c>
    </row>
    <row r="212" spans="1:30">
      <c r="A212" s="435" t="s">
        <v>1557</v>
      </c>
      <c r="B212" s="60" t="s">
        <v>941</v>
      </c>
      <c r="C212" s="92">
        <v>43507</v>
      </c>
      <c r="D212" s="92">
        <v>43507</v>
      </c>
      <c r="E212" s="228" t="s">
        <v>160</v>
      </c>
      <c r="F212" s="435" t="s">
        <v>719</v>
      </c>
      <c r="G212" s="1033" t="s">
        <v>921</v>
      </c>
      <c r="H212" s="117">
        <v>18.3</v>
      </c>
      <c r="I212" s="177">
        <v>18.3</v>
      </c>
      <c r="J212" s="436"/>
      <c r="K212" s="435" t="s">
        <v>917</v>
      </c>
      <c r="L212" s="232">
        <v>0.1</v>
      </c>
      <c r="M212" s="232"/>
      <c r="N212" s="175">
        <v>43531</v>
      </c>
    </row>
    <row r="213" spans="1:30">
      <c r="A213" s="1442" t="s">
        <v>1572</v>
      </c>
      <c r="B213" s="1438" t="s">
        <v>941</v>
      </c>
      <c r="C213" s="1437">
        <v>43545</v>
      </c>
      <c r="D213" s="1437">
        <v>43545</v>
      </c>
      <c r="E213" s="1444" t="s">
        <v>160</v>
      </c>
      <c r="F213" s="1442" t="s">
        <v>719</v>
      </c>
      <c r="G213" s="1446" t="s">
        <v>921</v>
      </c>
      <c r="H213" s="1447">
        <v>13.6</v>
      </c>
      <c r="I213" s="1449">
        <v>13.6</v>
      </c>
      <c r="J213" s="1441"/>
      <c r="K213" s="1433" t="s">
        <v>917</v>
      </c>
      <c r="L213" s="1448">
        <v>0.1</v>
      </c>
      <c r="M213" s="1448"/>
      <c r="N213" s="1434">
        <v>43552</v>
      </c>
    </row>
    <row r="214" spans="1:30">
      <c r="A214" s="1442" t="s">
        <v>1572</v>
      </c>
      <c r="B214" s="1438" t="s">
        <v>941</v>
      </c>
      <c r="C214" s="1437">
        <v>43545</v>
      </c>
      <c r="D214" s="1437">
        <v>43545</v>
      </c>
      <c r="E214" s="1444" t="s">
        <v>160</v>
      </c>
      <c r="F214" s="1442" t="s">
        <v>719</v>
      </c>
      <c r="G214" s="1446" t="s">
        <v>921</v>
      </c>
      <c r="H214" s="1447">
        <v>13.9</v>
      </c>
      <c r="I214" s="1449">
        <v>13.9</v>
      </c>
      <c r="J214" s="1441"/>
      <c r="K214" s="1433" t="s">
        <v>917</v>
      </c>
      <c r="L214" s="1448">
        <v>0.1</v>
      </c>
      <c r="M214" s="1448"/>
      <c r="N214" s="1434">
        <v>43552</v>
      </c>
    </row>
    <row r="215" spans="1:30">
      <c r="A215" s="1463" t="s">
        <v>1582</v>
      </c>
      <c r="B215" s="1459" t="s">
        <v>941</v>
      </c>
      <c r="C215" s="1458">
        <v>43563</v>
      </c>
      <c r="D215" s="1458">
        <v>43563</v>
      </c>
      <c r="E215" s="1465" t="s">
        <v>160</v>
      </c>
      <c r="F215" s="1463" t="s">
        <v>719</v>
      </c>
      <c r="G215" s="1467" t="s">
        <v>921</v>
      </c>
      <c r="H215" s="1468">
        <v>15.9</v>
      </c>
      <c r="I215" s="1470">
        <v>15.9</v>
      </c>
      <c r="J215" s="1462"/>
      <c r="K215" s="1454" t="s">
        <v>917</v>
      </c>
      <c r="L215" s="1469">
        <v>0.1</v>
      </c>
      <c r="M215" s="1469"/>
      <c r="N215" s="1455">
        <v>43573</v>
      </c>
    </row>
    <row r="216" spans="1:30">
      <c r="A216" s="1463" t="s">
        <v>1582</v>
      </c>
      <c r="B216" s="1459" t="s">
        <v>941</v>
      </c>
      <c r="C216" s="1458">
        <v>43563</v>
      </c>
      <c r="D216" s="1458">
        <v>43563</v>
      </c>
      <c r="E216" s="1465" t="s">
        <v>160</v>
      </c>
      <c r="F216" s="1463" t="s">
        <v>719</v>
      </c>
      <c r="G216" s="1467" t="s">
        <v>921</v>
      </c>
      <c r="H216" s="1468">
        <v>15.9</v>
      </c>
      <c r="I216" s="1470">
        <v>15.9</v>
      </c>
      <c r="J216" s="1462"/>
      <c r="K216" s="1454" t="s">
        <v>917</v>
      </c>
      <c r="L216" s="1469">
        <v>0.1</v>
      </c>
      <c r="M216" s="1469"/>
      <c r="N216" s="1455">
        <v>43573</v>
      </c>
    </row>
    <row r="217" spans="1:30">
      <c r="A217" s="1484" t="s">
        <v>1594</v>
      </c>
      <c r="B217" s="1480" t="s">
        <v>941</v>
      </c>
      <c r="C217" s="1479">
        <v>43591</v>
      </c>
      <c r="D217" s="1479">
        <v>43591</v>
      </c>
      <c r="E217" s="1486" t="s">
        <v>160</v>
      </c>
      <c r="F217" s="1484" t="s">
        <v>719</v>
      </c>
      <c r="G217" s="1488" t="s">
        <v>921</v>
      </c>
      <c r="H217" s="1489">
        <v>1.8</v>
      </c>
      <c r="I217" s="1491">
        <v>1.8</v>
      </c>
      <c r="J217" s="1483"/>
      <c r="K217" s="1475" t="s">
        <v>917</v>
      </c>
      <c r="L217" s="1490">
        <v>0.1</v>
      </c>
      <c r="M217" s="1490"/>
      <c r="N217" s="1476">
        <v>43615</v>
      </c>
    </row>
    <row r="218" spans="1:30">
      <c r="A218" s="1484" t="s">
        <v>1594</v>
      </c>
      <c r="B218" s="1480" t="s">
        <v>941</v>
      </c>
      <c r="C218" s="1479">
        <v>43591</v>
      </c>
      <c r="D218" s="1479">
        <v>43591</v>
      </c>
      <c r="E218" s="1486" t="s">
        <v>160</v>
      </c>
      <c r="F218" s="1484" t="s">
        <v>719</v>
      </c>
      <c r="G218" s="1488" t="s">
        <v>921</v>
      </c>
      <c r="H218" s="1489">
        <v>1.8</v>
      </c>
      <c r="I218" s="1491">
        <v>1.8</v>
      </c>
      <c r="J218" s="1483"/>
      <c r="K218" s="1475" t="s">
        <v>917</v>
      </c>
      <c r="L218" s="1490">
        <v>0.1</v>
      </c>
      <c r="M218" s="1490"/>
      <c r="N218" s="1476">
        <v>43615</v>
      </c>
    </row>
    <row r="219" spans="1:30">
      <c r="A219" s="1505" t="s">
        <v>1604</v>
      </c>
      <c r="B219" s="1501" t="s">
        <v>941</v>
      </c>
      <c r="C219" s="1500">
        <v>43626</v>
      </c>
      <c r="D219" s="1500">
        <v>43626</v>
      </c>
      <c r="E219" s="1507" t="s">
        <v>160</v>
      </c>
      <c r="F219" s="1505" t="s">
        <v>719</v>
      </c>
      <c r="G219" s="1509" t="s">
        <v>921</v>
      </c>
      <c r="H219" s="1510">
        <v>8.8000000000000007</v>
      </c>
      <c r="I219" s="1512">
        <v>8.8000000000000007</v>
      </c>
      <c r="J219" s="1504"/>
      <c r="K219" s="1496" t="s">
        <v>917</v>
      </c>
      <c r="L219" s="1511">
        <v>0.1</v>
      </c>
      <c r="M219" s="1511"/>
      <c r="N219" s="1497">
        <v>43648</v>
      </c>
    </row>
    <row r="220" spans="1:30">
      <c r="A220" s="1505" t="s">
        <v>1604</v>
      </c>
      <c r="B220" s="1501" t="s">
        <v>941</v>
      </c>
      <c r="C220" s="1500">
        <v>43626</v>
      </c>
      <c r="D220" s="1500">
        <v>43626</v>
      </c>
      <c r="E220" s="1507" t="s">
        <v>160</v>
      </c>
      <c r="F220" s="1505" t="s">
        <v>719</v>
      </c>
      <c r="G220" s="1509" t="s">
        <v>921</v>
      </c>
      <c r="H220" s="1510">
        <v>9.1</v>
      </c>
      <c r="I220" s="1512">
        <v>9.1</v>
      </c>
      <c r="J220" s="1504"/>
      <c r="K220" s="1496" t="s">
        <v>917</v>
      </c>
      <c r="L220" s="1511">
        <v>0.1</v>
      </c>
      <c r="M220" s="1511"/>
      <c r="N220" s="1497">
        <v>43648</v>
      </c>
    </row>
    <row r="221" spans="1:30">
      <c r="A221" s="1545" t="s">
        <v>1622</v>
      </c>
      <c r="B221" s="1541" t="s">
        <v>941</v>
      </c>
      <c r="C221" s="1540">
        <v>43654</v>
      </c>
      <c r="D221" s="1540">
        <v>43654</v>
      </c>
      <c r="E221" s="1547" t="s">
        <v>160</v>
      </c>
      <c r="F221" s="1545" t="s">
        <v>719</v>
      </c>
      <c r="G221" s="1549" t="s">
        <v>921</v>
      </c>
      <c r="H221" s="1550">
        <v>10.9</v>
      </c>
      <c r="I221" s="1552">
        <v>10.9</v>
      </c>
      <c r="J221" s="1544"/>
      <c r="K221" s="1536" t="s">
        <v>917</v>
      </c>
      <c r="L221" s="1551">
        <v>0.1</v>
      </c>
      <c r="M221" s="1551"/>
      <c r="N221" s="1537">
        <v>43671</v>
      </c>
    </row>
    <row r="222" spans="1:30">
      <c r="A222" s="1545" t="s">
        <v>1622</v>
      </c>
      <c r="B222" s="1541" t="s">
        <v>941</v>
      </c>
      <c r="C222" s="1540">
        <v>43654</v>
      </c>
      <c r="D222" s="1540">
        <v>43654</v>
      </c>
      <c r="E222" s="1547" t="s">
        <v>160</v>
      </c>
      <c r="F222" s="1545" t="s">
        <v>719</v>
      </c>
      <c r="G222" s="1549" t="s">
        <v>921</v>
      </c>
      <c r="H222" s="1550">
        <v>12.1</v>
      </c>
      <c r="I222" s="1552">
        <v>12.1</v>
      </c>
      <c r="J222" s="1544"/>
      <c r="K222" s="1536" t="s">
        <v>917</v>
      </c>
      <c r="L222" s="1551">
        <v>0.1</v>
      </c>
      <c r="M222" s="1551"/>
      <c r="N222" s="1537">
        <v>43671</v>
      </c>
    </row>
    <row r="223" spans="1:30">
      <c r="A223" s="1526" t="s">
        <v>1616</v>
      </c>
      <c r="B223" s="1522" t="s">
        <v>941</v>
      </c>
      <c r="C223" s="1521">
        <v>43661</v>
      </c>
      <c r="D223" s="1521">
        <v>43661</v>
      </c>
      <c r="E223" s="1528" t="s">
        <v>160</v>
      </c>
      <c r="F223" s="1526" t="s">
        <v>719</v>
      </c>
      <c r="G223" s="1530" t="s">
        <v>921</v>
      </c>
      <c r="H223" s="1531">
        <v>16.2</v>
      </c>
      <c r="I223" s="1533">
        <v>16.2</v>
      </c>
      <c r="J223" s="1525"/>
      <c r="K223" s="1517" t="s">
        <v>917</v>
      </c>
      <c r="L223" s="1532">
        <v>0.1</v>
      </c>
      <c r="M223" s="1532"/>
      <c r="N223" s="1534">
        <v>43685</v>
      </c>
    </row>
    <row r="224" spans="1:30">
      <c r="A224" s="1526" t="s">
        <v>1616</v>
      </c>
      <c r="B224" s="1522" t="s">
        <v>941</v>
      </c>
      <c r="C224" s="1521">
        <v>43661</v>
      </c>
      <c r="D224" s="1521">
        <v>43661</v>
      </c>
      <c r="E224" s="1528" t="s">
        <v>160</v>
      </c>
      <c r="F224" s="1526" t="s">
        <v>719</v>
      </c>
      <c r="G224" s="1530" t="s">
        <v>921</v>
      </c>
      <c r="H224" s="1531">
        <v>15.6</v>
      </c>
      <c r="I224" s="1533">
        <v>15.6</v>
      </c>
      <c r="J224" s="1525"/>
      <c r="K224" s="1517" t="s">
        <v>917</v>
      </c>
      <c r="L224" s="1532">
        <v>0.1</v>
      </c>
      <c r="M224" s="1532"/>
      <c r="N224" s="1534">
        <v>43685</v>
      </c>
    </row>
    <row r="225" spans="1:14">
      <c r="A225" s="1565" t="s">
        <v>1629</v>
      </c>
      <c r="B225" s="1561" t="s">
        <v>941</v>
      </c>
      <c r="C225" s="1560">
        <v>43682</v>
      </c>
      <c r="D225" s="1560">
        <v>43682</v>
      </c>
      <c r="E225" s="1567" t="s">
        <v>160</v>
      </c>
      <c r="F225" s="1565" t="s">
        <v>719</v>
      </c>
      <c r="G225" s="1569" t="s">
        <v>921</v>
      </c>
      <c r="H225" s="1570">
        <v>2.4</v>
      </c>
      <c r="I225" s="1572">
        <v>2.4</v>
      </c>
      <c r="J225" s="1564"/>
      <c r="K225" s="1556" t="s">
        <v>917</v>
      </c>
      <c r="L225" s="1571">
        <v>0.1</v>
      </c>
      <c r="M225" s="1571"/>
      <c r="N225" s="1557">
        <v>43685</v>
      </c>
    </row>
    <row r="226" spans="1:14">
      <c r="A226" s="1565" t="s">
        <v>1629</v>
      </c>
      <c r="B226" s="1561" t="s">
        <v>941</v>
      </c>
      <c r="C226" s="1560">
        <v>43682</v>
      </c>
      <c r="D226" s="1560">
        <v>43682</v>
      </c>
      <c r="E226" s="1567" t="s">
        <v>160</v>
      </c>
      <c r="F226" s="1565" t="s">
        <v>719</v>
      </c>
      <c r="G226" s="1569" t="s">
        <v>921</v>
      </c>
      <c r="H226" s="1570">
        <v>2.1</v>
      </c>
      <c r="I226" s="1572">
        <v>2.1</v>
      </c>
      <c r="J226" s="1564"/>
      <c r="K226" s="1556" t="s">
        <v>917</v>
      </c>
      <c r="L226" s="1571">
        <v>0.1</v>
      </c>
      <c r="M226" s="1571"/>
      <c r="N226" s="1557">
        <v>43685</v>
      </c>
    </row>
    <row r="227" spans="1:14">
      <c r="A227" s="1694" t="s">
        <v>1679</v>
      </c>
      <c r="B227" s="1699" t="s">
        <v>1680</v>
      </c>
      <c r="C227" s="1698">
        <v>43690</v>
      </c>
      <c r="D227" s="1698">
        <v>43690</v>
      </c>
      <c r="E227" s="1706" t="s">
        <v>160</v>
      </c>
      <c r="F227" s="1704" t="s">
        <v>719</v>
      </c>
      <c r="G227" s="1708" t="s">
        <v>921</v>
      </c>
      <c r="H227" s="1700">
        <v>4.0999999999999996</v>
      </c>
      <c r="I227" s="1711">
        <v>4.0999999999999996</v>
      </c>
      <c r="J227" s="1694"/>
      <c r="K227" s="1694" t="s">
        <v>917</v>
      </c>
      <c r="L227" s="1710">
        <v>0.1</v>
      </c>
      <c r="M227" s="1697"/>
      <c r="N227" s="1695">
        <v>43692</v>
      </c>
    </row>
    <row r="228" spans="1:14">
      <c r="A228" s="1694" t="s">
        <v>1679</v>
      </c>
      <c r="B228" s="1699" t="s">
        <v>1680</v>
      </c>
      <c r="C228" s="1698">
        <v>43690</v>
      </c>
      <c r="D228" s="1698">
        <v>43690</v>
      </c>
      <c r="E228" s="1706" t="s">
        <v>160</v>
      </c>
      <c r="F228" s="1704" t="s">
        <v>719</v>
      </c>
      <c r="G228" s="1708" t="s">
        <v>921</v>
      </c>
      <c r="H228" s="1692">
        <v>3.5</v>
      </c>
      <c r="I228" s="1693" t="s">
        <v>1672</v>
      </c>
      <c r="J228" s="1691"/>
      <c r="K228" s="1694" t="s">
        <v>917</v>
      </c>
      <c r="L228" s="1710">
        <v>0.1</v>
      </c>
      <c r="M228" s="1691"/>
      <c r="N228" s="1695">
        <v>43692</v>
      </c>
    </row>
    <row r="229" spans="1:14" ht="13.5" customHeight="1">
      <c r="A229" s="1585" t="s">
        <v>1638</v>
      </c>
      <c r="B229" s="1581" t="s">
        <v>941</v>
      </c>
      <c r="C229" s="1580">
        <v>43717</v>
      </c>
      <c r="D229" s="1580">
        <v>43717</v>
      </c>
      <c r="E229" s="1587" t="s">
        <v>160</v>
      </c>
      <c r="F229" s="1585" t="s">
        <v>719</v>
      </c>
      <c r="G229" s="1589" t="s">
        <v>921</v>
      </c>
      <c r="H229" s="1590">
        <v>31</v>
      </c>
      <c r="I229" s="1592">
        <v>31</v>
      </c>
      <c r="J229" s="1584"/>
      <c r="K229" s="1576" t="s">
        <v>917</v>
      </c>
      <c r="L229" s="1591">
        <v>0.1</v>
      </c>
      <c r="M229" s="1591"/>
      <c r="N229" s="1577">
        <v>43720</v>
      </c>
    </row>
    <row r="230" spans="1:14">
      <c r="A230" s="1585" t="s">
        <v>1638</v>
      </c>
      <c r="B230" s="1581" t="s">
        <v>941</v>
      </c>
      <c r="C230" s="1580">
        <v>43717</v>
      </c>
      <c r="D230" s="1580">
        <v>43717</v>
      </c>
      <c r="E230" s="1587" t="s">
        <v>160</v>
      </c>
      <c r="F230" s="1585" t="s">
        <v>719</v>
      </c>
      <c r="G230" s="1589" t="s">
        <v>921</v>
      </c>
      <c r="H230" s="1590">
        <v>31</v>
      </c>
      <c r="I230" s="1592">
        <v>31</v>
      </c>
      <c r="J230" s="1584"/>
      <c r="K230" s="1576" t="s">
        <v>917</v>
      </c>
      <c r="L230" s="1591">
        <v>0.1</v>
      </c>
      <c r="M230" s="1591"/>
      <c r="N230" s="1577">
        <v>43720</v>
      </c>
    </row>
    <row r="231" spans="1:14">
      <c r="A231" s="1605" t="s">
        <v>1645</v>
      </c>
      <c r="B231" s="1601" t="s">
        <v>941</v>
      </c>
      <c r="C231" s="1600">
        <v>43724</v>
      </c>
      <c r="D231" s="1600">
        <v>43724</v>
      </c>
      <c r="E231" s="1607" t="s">
        <v>160</v>
      </c>
      <c r="F231" s="1605" t="s">
        <v>719</v>
      </c>
      <c r="G231" s="1609" t="s">
        <v>921</v>
      </c>
      <c r="H231" s="1610">
        <v>18.899999999999999</v>
      </c>
      <c r="I231" s="1612">
        <v>18.899999999999999</v>
      </c>
      <c r="J231" s="1604"/>
      <c r="K231" s="1596" t="s">
        <v>917</v>
      </c>
      <c r="L231" s="1611">
        <v>0.1</v>
      </c>
      <c r="M231" s="1611"/>
      <c r="N231" s="1597">
        <v>43741</v>
      </c>
    </row>
    <row r="232" spans="1:14">
      <c r="A232" s="1605" t="s">
        <v>1645</v>
      </c>
      <c r="B232" s="1601" t="s">
        <v>941</v>
      </c>
      <c r="C232" s="1600">
        <v>43724</v>
      </c>
      <c r="D232" s="1600">
        <v>43724</v>
      </c>
      <c r="E232" s="1607" t="s">
        <v>160</v>
      </c>
      <c r="F232" s="1605" t="s">
        <v>719</v>
      </c>
      <c r="G232" s="1609" t="s">
        <v>921</v>
      </c>
      <c r="H232" s="1610">
        <v>18.3</v>
      </c>
      <c r="I232" s="1612">
        <v>18.3</v>
      </c>
      <c r="J232" s="1604"/>
      <c r="K232" s="1596" t="s">
        <v>917</v>
      </c>
      <c r="L232" s="1611">
        <v>0.1</v>
      </c>
      <c r="M232" s="1611"/>
      <c r="N232" s="1597">
        <v>43741</v>
      </c>
    </row>
    <row r="233" spans="1:14">
      <c r="A233" s="1626" t="s">
        <v>1653</v>
      </c>
      <c r="B233" s="1622" t="s">
        <v>941</v>
      </c>
      <c r="C233" s="1621">
        <v>43752</v>
      </c>
      <c r="D233" s="1621">
        <v>43752</v>
      </c>
      <c r="E233" s="1628" t="s">
        <v>160</v>
      </c>
      <c r="F233" s="1626" t="s">
        <v>719</v>
      </c>
      <c r="G233" s="1630" t="s">
        <v>921</v>
      </c>
      <c r="H233" s="1631">
        <v>26.2</v>
      </c>
      <c r="I233" s="1633">
        <v>26.2</v>
      </c>
      <c r="J233" s="1625"/>
      <c r="K233" s="1617" t="s">
        <v>917</v>
      </c>
      <c r="L233" s="1632">
        <v>0.1</v>
      </c>
      <c r="M233" s="1632"/>
      <c r="N233" s="1618">
        <v>43754</v>
      </c>
    </row>
    <row r="234" spans="1:14">
      <c r="A234" s="1626" t="s">
        <v>1653</v>
      </c>
      <c r="B234" s="1622" t="s">
        <v>941</v>
      </c>
      <c r="C234" s="1621">
        <v>43752</v>
      </c>
      <c r="D234" s="1621">
        <v>43752</v>
      </c>
      <c r="E234" s="1628" t="s">
        <v>160</v>
      </c>
      <c r="F234" s="1626" t="s">
        <v>719</v>
      </c>
      <c r="G234" s="1630" t="s">
        <v>921</v>
      </c>
      <c r="H234" s="1631">
        <v>27.1</v>
      </c>
      <c r="I234" s="1633">
        <v>27.1</v>
      </c>
      <c r="J234" s="1625"/>
      <c r="K234" s="1617" t="s">
        <v>917</v>
      </c>
      <c r="L234" s="1632">
        <v>0.1</v>
      </c>
      <c r="M234" s="1632"/>
      <c r="N234" s="1618">
        <v>43754</v>
      </c>
    </row>
    <row r="235" spans="1:14">
      <c r="A235" s="1646" t="s">
        <v>1662</v>
      </c>
      <c r="B235" s="1642" t="s">
        <v>941</v>
      </c>
      <c r="C235" s="1641">
        <v>43783</v>
      </c>
      <c r="D235" s="1641">
        <v>43783</v>
      </c>
      <c r="E235" s="1648" t="s">
        <v>160</v>
      </c>
      <c r="F235" s="1646" t="s">
        <v>719</v>
      </c>
      <c r="G235" s="1650" t="s">
        <v>921</v>
      </c>
      <c r="H235" s="1651">
        <v>24.8</v>
      </c>
      <c r="I235" s="1653">
        <v>24.8</v>
      </c>
      <c r="J235" s="1645"/>
      <c r="K235" s="1637" t="s">
        <v>917</v>
      </c>
      <c r="L235" s="1652">
        <v>0.1</v>
      </c>
      <c r="M235" s="1652"/>
      <c r="N235" s="1638">
        <v>43802</v>
      </c>
    </row>
    <row r="236" spans="1:14">
      <c r="A236" s="1646" t="s">
        <v>1662</v>
      </c>
      <c r="B236" s="1642" t="s">
        <v>941</v>
      </c>
      <c r="C236" s="1641">
        <v>43783</v>
      </c>
      <c r="D236" s="1641">
        <v>43783</v>
      </c>
      <c r="E236" s="1648" t="s">
        <v>160</v>
      </c>
      <c r="F236" s="1646" t="s">
        <v>719</v>
      </c>
      <c r="G236" s="1650" t="s">
        <v>921</v>
      </c>
      <c r="H236" s="1651">
        <v>25.7</v>
      </c>
      <c r="I236" s="1653">
        <v>25.7</v>
      </c>
      <c r="J236" s="1645"/>
      <c r="K236" s="1637" t="s">
        <v>917</v>
      </c>
      <c r="L236" s="1652">
        <v>0.1</v>
      </c>
      <c r="M236" s="1652"/>
      <c r="N236" s="1638">
        <v>43802</v>
      </c>
    </row>
    <row r="237" spans="1:14">
      <c r="A237" s="1666" t="s">
        <v>1669</v>
      </c>
      <c r="B237" s="1662" t="s">
        <v>941</v>
      </c>
      <c r="C237" s="1661">
        <v>43808</v>
      </c>
      <c r="D237" s="1661">
        <v>43808</v>
      </c>
      <c r="E237" s="1668" t="s">
        <v>160</v>
      </c>
      <c r="F237" s="1666" t="s">
        <v>719</v>
      </c>
      <c r="G237" s="1670" t="s">
        <v>921</v>
      </c>
      <c r="H237" s="1671">
        <v>7.7</v>
      </c>
      <c r="I237" s="1673">
        <v>7.7</v>
      </c>
      <c r="J237" s="1665"/>
      <c r="K237" s="1657" t="s">
        <v>917</v>
      </c>
      <c r="L237" s="1672">
        <v>0.1</v>
      </c>
      <c r="M237" s="1672"/>
      <c r="N237" s="1658">
        <v>43830</v>
      </c>
    </row>
    <row r="238" spans="1:14">
      <c r="A238" s="1666" t="s">
        <v>1669</v>
      </c>
      <c r="B238" s="1662" t="s">
        <v>941</v>
      </c>
      <c r="C238" s="1661">
        <v>43808</v>
      </c>
      <c r="D238" s="1661">
        <v>43808</v>
      </c>
      <c r="E238" s="1668" t="s">
        <v>160</v>
      </c>
      <c r="F238" s="1666" t="s">
        <v>719</v>
      </c>
      <c r="G238" s="1670" t="s">
        <v>921</v>
      </c>
      <c r="H238" s="1671">
        <v>7.1</v>
      </c>
      <c r="I238" s="1673">
        <v>7.1</v>
      </c>
      <c r="J238" s="1665"/>
      <c r="K238" s="1657" t="s">
        <v>917</v>
      </c>
      <c r="L238" s="1672">
        <v>0.1</v>
      </c>
      <c r="M238" s="1672"/>
      <c r="N238" s="1658">
        <v>43830</v>
      </c>
    </row>
    <row r="246" spans="1:14">
      <c r="A246" s="1694"/>
      <c r="B246" s="1699"/>
      <c r="C246" s="1698"/>
      <c r="D246" s="1698"/>
      <c r="E246" s="1694"/>
      <c r="F246" s="1694"/>
      <c r="G246" s="1701"/>
      <c r="H246" s="1696"/>
      <c r="I246" s="1702"/>
      <c r="J246" s="1696"/>
      <c r="K246" s="1694"/>
      <c r="L246" s="1697"/>
      <c r="M246" s="1697"/>
      <c r="N246" s="1695"/>
    </row>
    <row r="247" spans="1:14">
      <c r="A247" s="1691" t="s">
        <v>1673</v>
      </c>
      <c r="B247" s="1699" t="s">
        <v>939</v>
      </c>
      <c r="C247" s="1698">
        <v>43690</v>
      </c>
      <c r="D247" s="1698">
        <v>43690</v>
      </c>
      <c r="E247" s="1706" t="s">
        <v>177</v>
      </c>
      <c r="F247" s="1694" t="s">
        <v>719</v>
      </c>
      <c r="G247" s="1701" t="s">
        <v>916</v>
      </c>
      <c r="H247" s="1696">
        <v>507</v>
      </c>
      <c r="I247" s="1702">
        <v>507</v>
      </c>
      <c r="J247" s="1694"/>
      <c r="K247" s="1707" t="s">
        <v>917</v>
      </c>
      <c r="L247" s="1697">
        <v>26</v>
      </c>
      <c r="M247" s="1697">
        <v>104</v>
      </c>
      <c r="N247" s="1695">
        <v>43718</v>
      </c>
    </row>
    <row r="248" spans="1:14">
      <c r="A248" s="1691" t="s">
        <v>1673</v>
      </c>
      <c r="B248" s="1699" t="s">
        <v>939</v>
      </c>
      <c r="C248" s="1698">
        <v>43690</v>
      </c>
      <c r="D248" s="1698">
        <v>43690</v>
      </c>
      <c r="E248" s="1694" t="s">
        <v>159</v>
      </c>
      <c r="F248" s="1694" t="s">
        <v>719</v>
      </c>
      <c r="G248" s="1701" t="s">
        <v>918</v>
      </c>
      <c r="H248" s="1696">
        <v>41</v>
      </c>
      <c r="I248" s="1702">
        <v>41</v>
      </c>
      <c r="J248" s="1696"/>
      <c r="K248" s="1694" t="s">
        <v>917</v>
      </c>
      <c r="L248" s="1697">
        <v>6</v>
      </c>
      <c r="M248" s="1697">
        <v>24</v>
      </c>
      <c r="N248" s="1695">
        <v>43718</v>
      </c>
    </row>
    <row r="249" spans="1:14">
      <c r="A249" s="1704" t="s">
        <v>1674</v>
      </c>
      <c r="B249" s="1699" t="s">
        <v>940</v>
      </c>
      <c r="C249" s="1698">
        <v>43690</v>
      </c>
      <c r="D249" s="1698">
        <v>43690</v>
      </c>
      <c r="E249" s="1706" t="s">
        <v>177</v>
      </c>
      <c r="F249" s="1694" t="s">
        <v>719</v>
      </c>
      <c r="G249" s="1701" t="s">
        <v>916</v>
      </c>
      <c r="H249" s="1696">
        <v>451</v>
      </c>
      <c r="I249" s="1702">
        <v>451</v>
      </c>
      <c r="J249" s="1694"/>
      <c r="K249" s="1707" t="s">
        <v>917</v>
      </c>
      <c r="L249" s="1697">
        <v>26</v>
      </c>
      <c r="M249" s="1697">
        <v>104</v>
      </c>
      <c r="N249" s="1695">
        <v>43718</v>
      </c>
    </row>
    <row r="250" spans="1:14">
      <c r="A250" s="1691" t="s">
        <v>1674</v>
      </c>
      <c r="B250" s="1699" t="s">
        <v>940</v>
      </c>
      <c r="C250" s="1698">
        <v>43690</v>
      </c>
      <c r="D250" s="1698">
        <v>43690</v>
      </c>
      <c r="E250" s="1694" t="s">
        <v>159</v>
      </c>
      <c r="F250" s="1694" t="s">
        <v>719</v>
      </c>
      <c r="G250" s="1701" t="s">
        <v>918</v>
      </c>
      <c r="H250" s="1696">
        <v>29</v>
      </c>
      <c r="I250" s="1702">
        <v>29</v>
      </c>
      <c r="J250" s="1696"/>
      <c r="K250" s="1694" t="s">
        <v>917</v>
      </c>
      <c r="L250" s="1697">
        <v>6</v>
      </c>
      <c r="M250" s="1697">
        <v>24</v>
      </c>
      <c r="N250" s="1695">
        <v>43718</v>
      </c>
    </row>
    <row r="251" spans="1:14">
      <c r="A251" s="1694" t="s">
        <v>1675</v>
      </c>
      <c r="B251" s="1699">
        <v>45</v>
      </c>
      <c r="C251" s="1698">
        <v>43690</v>
      </c>
      <c r="D251" s="1698">
        <v>43690</v>
      </c>
      <c r="E251" s="1706" t="s">
        <v>177</v>
      </c>
      <c r="F251" s="1694" t="s">
        <v>719</v>
      </c>
      <c r="G251" s="1701" t="s">
        <v>916</v>
      </c>
      <c r="H251" s="1696">
        <v>454</v>
      </c>
      <c r="I251" s="1702">
        <v>454</v>
      </c>
      <c r="J251" s="1694"/>
      <c r="K251" s="1707" t="s">
        <v>917</v>
      </c>
      <c r="L251" s="1697">
        <v>26</v>
      </c>
      <c r="M251" s="1697">
        <v>104</v>
      </c>
      <c r="N251" s="1695">
        <v>43718</v>
      </c>
    </row>
    <row r="252" spans="1:14">
      <c r="A252" s="1704" t="s">
        <v>1675</v>
      </c>
      <c r="B252" s="1699">
        <v>45</v>
      </c>
      <c r="C252" s="1698">
        <v>43690</v>
      </c>
      <c r="D252" s="1698">
        <v>43690</v>
      </c>
      <c r="E252" s="1694" t="s">
        <v>159</v>
      </c>
      <c r="F252" s="1694" t="s">
        <v>719</v>
      </c>
      <c r="G252" s="1701" t="s">
        <v>918</v>
      </c>
      <c r="H252" s="1696">
        <v>47</v>
      </c>
      <c r="I252" s="1702">
        <v>47</v>
      </c>
      <c r="J252" s="1696"/>
      <c r="K252" s="1694" t="s">
        <v>917</v>
      </c>
      <c r="L252" s="1697">
        <v>6</v>
      </c>
      <c r="M252" s="1697">
        <v>24</v>
      </c>
      <c r="N252" s="1695">
        <v>43718</v>
      </c>
    </row>
    <row r="253" spans="1:14">
      <c r="A253" s="1694" t="s">
        <v>1676</v>
      </c>
      <c r="B253" s="1699">
        <v>90</v>
      </c>
      <c r="C253" s="1698">
        <v>43690</v>
      </c>
      <c r="D253" s="1698">
        <v>43690</v>
      </c>
      <c r="E253" s="1706" t="s">
        <v>177</v>
      </c>
      <c r="F253" s="1694" t="s">
        <v>719</v>
      </c>
      <c r="G253" s="1701" t="s">
        <v>916</v>
      </c>
      <c r="H253" s="1696">
        <v>506</v>
      </c>
      <c r="I253" s="1702">
        <v>506</v>
      </c>
      <c r="J253" s="1694"/>
      <c r="K253" s="1707" t="s">
        <v>917</v>
      </c>
      <c r="L253" s="1697">
        <v>26</v>
      </c>
      <c r="M253" s="1697">
        <v>104</v>
      </c>
      <c r="N253" s="1695">
        <v>43718</v>
      </c>
    </row>
    <row r="254" spans="1:14">
      <c r="A254" s="1694" t="s">
        <v>1676</v>
      </c>
      <c r="B254" s="1699">
        <v>90</v>
      </c>
      <c r="C254" s="1698">
        <v>43690</v>
      </c>
      <c r="D254" s="1698">
        <v>43690</v>
      </c>
      <c r="E254" s="1694" t="s">
        <v>159</v>
      </c>
      <c r="F254" s="1694" t="s">
        <v>719</v>
      </c>
      <c r="G254" s="1701" t="s">
        <v>918</v>
      </c>
      <c r="H254" s="1696">
        <v>54</v>
      </c>
      <c r="I254" s="1702">
        <v>54</v>
      </c>
      <c r="J254" s="1694"/>
      <c r="K254" s="1694" t="s">
        <v>917</v>
      </c>
      <c r="L254" s="1697">
        <v>6</v>
      </c>
      <c r="M254" s="1697">
        <v>24</v>
      </c>
      <c r="N254" s="1695">
        <v>43718</v>
      </c>
    </row>
    <row r="255" spans="1:14">
      <c r="A255" s="1704" t="s">
        <v>1677</v>
      </c>
      <c r="B255" s="1705" t="s">
        <v>941</v>
      </c>
      <c r="C255" s="1698">
        <v>43690</v>
      </c>
      <c r="D255" s="1698">
        <v>43690</v>
      </c>
      <c r="E255" s="1706" t="s">
        <v>177</v>
      </c>
      <c r="F255" s="1694" t="s">
        <v>719</v>
      </c>
      <c r="G255" s="1701" t="s">
        <v>916</v>
      </c>
      <c r="H255" s="1696">
        <v>502</v>
      </c>
      <c r="I255" s="1702">
        <v>502</v>
      </c>
      <c r="J255" s="1694"/>
      <c r="K255" s="1707" t="s">
        <v>917</v>
      </c>
      <c r="L255" s="1697">
        <v>26</v>
      </c>
      <c r="M255" s="1697">
        <v>104</v>
      </c>
      <c r="N255" s="1695">
        <v>43718</v>
      </c>
    </row>
    <row r="256" spans="1:14">
      <c r="A256" s="1704" t="s">
        <v>1677</v>
      </c>
      <c r="B256" s="1705" t="s">
        <v>941</v>
      </c>
      <c r="C256" s="1698">
        <v>43690</v>
      </c>
      <c r="D256" s="1698">
        <v>43690</v>
      </c>
      <c r="E256" s="1694" t="s">
        <v>159</v>
      </c>
      <c r="F256" s="1694" t="s">
        <v>719</v>
      </c>
      <c r="G256" s="1701" t="s">
        <v>918</v>
      </c>
      <c r="H256" s="1696">
        <v>46</v>
      </c>
      <c r="I256" s="1702">
        <v>46</v>
      </c>
      <c r="J256" s="1696"/>
      <c r="K256" s="1694" t="s">
        <v>917</v>
      </c>
      <c r="L256" s="1697">
        <v>6</v>
      </c>
      <c r="M256" s="1697">
        <v>24</v>
      </c>
      <c r="N256" s="1695">
        <v>43718</v>
      </c>
    </row>
    <row r="257" spans="1:14">
      <c r="A257" s="1694" t="s">
        <v>1678</v>
      </c>
      <c r="B257" s="1699" t="s">
        <v>942</v>
      </c>
      <c r="C257" s="1698">
        <v>43690</v>
      </c>
      <c r="D257" s="1698">
        <v>43690</v>
      </c>
      <c r="E257" s="1706" t="s">
        <v>177</v>
      </c>
      <c r="F257" s="1694" t="s">
        <v>719</v>
      </c>
      <c r="G257" s="1701" t="s">
        <v>916</v>
      </c>
      <c r="H257" s="1696">
        <v>508</v>
      </c>
      <c r="I257" s="1702">
        <v>508</v>
      </c>
      <c r="J257" s="1694"/>
      <c r="K257" s="1707" t="s">
        <v>917</v>
      </c>
      <c r="L257" s="1697">
        <v>26</v>
      </c>
      <c r="M257" s="1697">
        <v>104</v>
      </c>
      <c r="N257" s="1695">
        <v>43718</v>
      </c>
    </row>
    <row r="258" spans="1:14">
      <c r="A258" s="1694" t="s">
        <v>1678</v>
      </c>
      <c r="B258" s="1699" t="s">
        <v>942</v>
      </c>
      <c r="C258" s="1698">
        <v>43690</v>
      </c>
      <c r="D258" s="1698">
        <v>43690</v>
      </c>
      <c r="E258" s="1694" t="s">
        <v>159</v>
      </c>
      <c r="F258" s="1694" t="s">
        <v>719</v>
      </c>
      <c r="G258" s="1701" t="s">
        <v>918</v>
      </c>
      <c r="H258" s="1696">
        <v>79</v>
      </c>
      <c r="I258" s="1702">
        <v>79</v>
      </c>
      <c r="J258" s="1696"/>
      <c r="K258" s="1694" t="s">
        <v>917</v>
      </c>
      <c r="L258" s="1697">
        <v>6</v>
      </c>
      <c r="M258" s="1697">
        <v>24</v>
      </c>
      <c r="N258" s="1695">
        <v>43718</v>
      </c>
    </row>
    <row r="260" spans="1:14">
      <c r="A260" s="1704" t="s">
        <v>1677</v>
      </c>
      <c r="B260" s="1699" t="s">
        <v>941</v>
      </c>
      <c r="C260" s="1698">
        <v>43690</v>
      </c>
      <c r="D260" s="1698">
        <v>43690</v>
      </c>
      <c r="E260" s="1706" t="s">
        <v>160</v>
      </c>
      <c r="F260" s="1704" t="s">
        <v>719</v>
      </c>
      <c r="G260" s="1708" t="s">
        <v>921</v>
      </c>
      <c r="H260" s="1709">
        <v>2.4</v>
      </c>
      <c r="I260" s="1712">
        <v>2.4</v>
      </c>
      <c r="J260" s="1703"/>
      <c r="K260" s="1694" t="s">
        <v>917</v>
      </c>
      <c r="L260" s="1710">
        <v>0.1</v>
      </c>
      <c r="M260" s="1710"/>
      <c r="N260" s="1695">
        <v>43692</v>
      </c>
    </row>
    <row r="261" spans="1:14">
      <c r="A261" s="1704" t="s">
        <v>1677</v>
      </c>
      <c r="B261" s="1699" t="s">
        <v>941</v>
      </c>
      <c r="C261" s="1698">
        <v>43690</v>
      </c>
      <c r="D261" s="1698">
        <v>43690</v>
      </c>
      <c r="E261" s="1706" t="s">
        <v>160</v>
      </c>
      <c r="F261" s="1704" t="s">
        <v>719</v>
      </c>
      <c r="G261" s="1708" t="s">
        <v>921</v>
      </c>
      <c r="H261" s="1709">
        <v>2.1</v>
      </c>
      <c r="I261" s="1712">
        <v>2.1</v>
      </c>
      <c r="J261" s="1703"/>
      <c r="K261" s="1694" t="s">
        <v>917</v>
      </c>
      <c r="L261" s="1710">
        <v>0.1</v>
      </c>
      <c r="M261" s="1710"/>
      <c r="N261" s="1695">
        <v>43692</v>
      </c>
    </row>
    <row r="269" spans="1:14">
      <c r="A269" s="1685"/>
      <c r="B269" s="1685"/>
      <c r="C269" s="1687"/>
      <c r="D269" s="1682"/>
      <c r="E269" s="1686"/>
      <c r="F269" s="1688"/>
      <c r="G269" s="1689"/>
      <c r="H269" s="1688"/>
      <c r="I269" s="1682"/>
      <c r="J269" s="1690"/>
      <c r="K269" s="1684"/>
      <c r="L269" s="1683"/>
    </row>
  </sheetData>
  <pageMargins left="0.7" right="0.7" top="0.75" bottom="0.75" header="0.3" footer="0.3"/>
  <pageSetup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59999389629810485"/>
    <pageSetUpPr fitToPage="1"/>
  </sheetPr>
  <dimension ref="A1:Y39"/>
  <sheetViews>
    <sheetView zoomScale="80" zoomScaleNormal="80" workbookViewId="0">
      <selection activeCell="T19" sqref="T19"/>
    </sheetView>
  </sheetViews>
  <sheetFormatPr defaultColWidth="17.54296875" defaultRowHeight="14"/>
  <cols>
    <col min="1" max="1" width="17.08984375" customWidth="1"/>
    <col min="2" max="2" width="18.36328125" bestFit="1" customWidth="1"/>
    <col min="3" max="3" width="5.08984375" bestFit="1" customWidth="1"/>
    <col min="4" max="4" width="6.08984375" bestFit="1" customWidth="1"/>
    <col min="5" max="5" width="6.54296875" bestFit="1" customWidth="1"/>
    <col min="6" max="6" width="5.08984375" bestFit="1" customWidth="1"/>
    <col min="7" max="8" width="6" bestFit="1" customWidth="1"/>
    <col min="9" max="9" width="5.08984375" bestFit="1" customWidth="1"/>
    <col min="10" max="10" width="5.54296875" bestFit="1" customWidth="1"/>
    <col min="11" max="11" width="5.08984375" bestFit="1" customWidth="1"/>
    <col min="12" max="12" width="6.36328125" bestFit="1" customWidth="1"/>
    <col min="13" max="13" width="5.453125" bestFit="1" customWidth="1"/>
    <col min="14" max="14" width="6.08984375" bestFit="1" customWidth="1"/>
    <col min="15" max="15" width="6.1796875" bestFit="1" customWidth="1"/>
    <col min="16" max="16" width="6.36328125" bestFit="1" customWidth="1"/>
    <col min="17" max="17" width="5.6328125" bestFit="1" customWidth="1"/>
    <col min="18" max="18" width="8.1796875" bestFit="1" customWidth="1"/>
    <col min="19" max="19" width="7.36328125" bestFit="1" customWidth="1"/>
    <col min="20" max="20" width="12" customWidth="1"/>
    <col min="21" max="21" width="4.453125" customWidth="1"/>
    <col min="22" max="22" width="13.08984375" bestFit="1" customWidth="1"/>
    <col min="23" max="24" width="6.90625" bestFit="1" customWidth="1"/>
    <col min="25" max="25" width="7.54296875" customWidth="1"/>
  </cols>
  <sheetData>
    <row r="1" spans="1:25">
      <c r="A1" s="2321" t="s">
        <v>162</v>
      </c>
      <c r="B1" s="2321"/>
      <c r="C1" s="2321"/>
      <c r="D1" s="2321"/>
      <c r="E1" s="2321"/>
      <c r="F1" s="2321"/>
      <c r="G1" s="2321"/>
      <c r="H1" s="2321"/>
      <c r="I1" s="2321"/>
      <c r="J1" s="2321"/>
      <c r="K1" s="2321"/>
      <c r="L1" s="2321"/>
      <c r="M1" s="2321"/>
      <c r="N1" s="2321"/>
      <c r="O1" s="2321"/>
      <c r="P1" s="2321"/>
      <c r="Q1" s="2321"/>
      <c r="R1" s="2321"/>
    </row>
    <row r="2" spans="1:25">
      <c r="A2" s="55" t="s">
        <v>9</v>
      </c>
      <c r="B2" s="55" t="s">
        <v>161</v>
      </c>
      <c r="C2" s="1284">
        <v>43472</v>
      </c>
      <c r="D2" s="1284">
        <v>43507</v>
      </c>
      <c r="E2" s="1284">
        <v>43545</v>
      </c>
      <c r="F2" s="1284">
        <v>43563</v>
      </c>
      <c r="G2" s="1284">
        <v>43591</v>
      </c>
      <c r="H2" s="1284">
        <v>43626</v>
      </c>
      <c r="I2" s="1284">
        <v>43654</v>
      </c>
      <c r="J2" s="1284">
        <v>43661</v>
      </c>
      <c r="K2" s="1284">
        <v>43682</v>
      </c>
      <c r="L2" s="1284">
        <v>43690</v>
      </c>
      <c r="M2" s="1284">
        <v>43717</v>
      </c>
      <c r="N2" s="1284">
        <v>43724</v>
      </c>
      <c r="O2" s="1284">
        <v>43752</v>
      </c>
      <c r="P2" s="1284">
        <v>43783</v>
      </c>
      <c r="Q2" s="1284">
        <v>43808</v>
      </c>
      <c r="R2" s="161" t="s">
        <v>15</v>
      </c>
      <c r="S2" s="162" t="s">
        <v>264</v>
      </c>
      <c r="T2" s="60"/>
      <c r="U2" s="56"/>
    </row>
    <row r="3" spans="1:25">
      <c r="A3" s="2326" t="s">
        <v>183</v>
      </c>
      <c r="B3" s="1740" t="s">
        <v>176</v>
      </c>
      <c r="C3" s="1716">
        <v>2028</v>
      </c>
      <c r="D3" s="789">
        <v>1378</v>
      </c>
      <c r="E3" s="1716">
        <v>1534</v>
      </c>
      <c r="F3" s="1716">
        <v>824</v>
      </c>
      <c r="G3" s="1716">
        <v>674</v>
      </c>
      <c r="H3" s="1716">
        <v>446</v>
      </c>
      <c r="I3" s="1716">
        <v>334</v>
      </c>
      <c r="J3" s="1716">
        <v>401</v>
      </c>
      <c r="K3" s="1716">
        <v>501</v>
      </c>
      <c r="L3" s="1716">
        <v>451</v>
      </c>
      <c r="M3" s="1716">
        <v>505</v>
      </c>
      <c r="N3" s="1716">
        <v>750</v>
      </c>
      <c r="O3" s="1716">
        <v>613</v>
      </c>
      <c r="P3" s="1716">
        <v>718</v>
      </c>
      <c r="Q3" s="1716">
        <v>825</v>
      </c>
      <c r="R3" s="155">
        <f t="shared" ref="R3:R9" si="0">AVERAGE(C3:Q3)</f>
        <v>798.8</v>
      </c>
      <c r="S3" s="155">
        <f t="shared" ref="S3:S9" si="1">MEDIAN(C3:Q3)</f>
        <v>674</v>
      </c>
      <c r="U3" s="56"/>
      <c r="W3" s="1753" t="s">
        <v>327</v>
      </c>
      <c r="X3" s="1753" t="s">
        <v>793</v>
      </c>
      <c r="Y3" s="1743" t="s">
        <v>1689</v>
      </c>
    </row>
    <row r="4" spans="1:25">
      <c r="A4" s="2328"/>
      <c r="B4" s="1740" t="s">
        <v>159</v>
      </c>
      <c r="C4" s="1716">
        <v>19</v>
      </c>
      <c r="D4" s="789">
        <v>21</v>
      </c>
      <c r="E4" s="1716">
        <v>37</v>
      </c>
      <c r="F4" s="1716">
        <v>19</v>
      </c>
      <c r="G4" s="1716">
        <v>25</v>
      </c>
      <c r="H4" s="1716">
        <v>50</v>
      </c>
      <c r="I4" s="1716">
        <v>35</v>
      </c>
      <c r="J4" s="1716">
        <v>41</v>
      </c>
      <c r="K4" s="1716">
        <v>75</v>
      </c>
      <c r="L4" s="1716">
        <v>29</v>
      </c>
      <c r="M4" s="1716">
        <v>66</v>
      </c>
      <c r="N4" s="1716">
        <v>121</v>
      </c>
      <c r="O4" s="1716">
        <v>23</v>
      </c>
      <c r="P4" s="1716">
        <v>16</v>
      </c>
      <c r="Q4" s="1716">
        <v>60</v>
      </c>
      <c r="R4" s="155">
        <f t="shared" si="0"/>
        <v>42.466666666666669</v>
      </c>
      <c r="S4" s="155">
        <f t="shared" si="1"/>
        <v>35</v>
      </c>
      <c r="U4" s="56"/>
      <c r="V4" s="1405">
        <v>43472</v>
      </c>
      <c r="W4" s="1748">
        <v>8</v>
      </c>
      <c r="X4" s="1749">
        <v>7</v>
      </c>
      <c r="Y4" s="31"/>
    </row>
    <row r="5" spans="1:25">
      <c r="A5" s="1741" t="s">
        <v>1405</v>
      </c>
      <c r="B5" s="1742" t="s">
        <v>388</v>
      </c>
      <c r="C5" s="1743"/>
      <c r="D5" s="1744">
        <v>4</v>
      </c>
      <c r="E5" s="1745">
        <v>13</v>
      </c>
      <c r="F5" s="1745">
        <v>4</v>
      </c>
      <c r="G5" s="1745">
        <v>8</v>
      </c>
      <c r="H5" s="1745">
        <v>50</v>
      </c>
      <c r="I5" s="1745">
        <v>50</v>
      </c>
      <c r="J5" s="1743"/>
      <c r="K5" s="1745">
        <v>23</v>
      </c>
      <c r="L5" s="1743"/>
      <c r="M5" s="1745">
        <v>30</v>
      </c>
      <c r="N5" s="1743"/>
      <c r="O5" s="1745">
        <v>23</v>
      </c>
      <c r="P5" s="1745">
        <v>2</v>
      </c>
      <c r="Q5" s="1745">
        <v>2</v>
      </c>
      <c r="R5" s="155"/>
      <c r="S5" s="155"/>
      <c r="U5" s="56"/>
      <c r="V5" s="1405">
        <v>43507</v>
      </c>
      <c r="W5" s="789">
        <v>4</v>
      </c>
      <c r="X5" s="789">
        <v>2</v>
      </c>
      <c r="Y5" s="789">
        <v>4</v>
      </c>
    </row>
    <row r="6" spans="1:25">
      <c r="A6" s="2329" t="s">
        <v>184</v>
      </c>
      <c r="B6" s="1746" t="s">
        <v>176</v>
      </c>
      <c r="C6" s="1745">
        <v>830</v>
      </c>
      <c r="D6" s="1744">
        <v>752</v>
      </c>
      <c r="E6" s="1745">
        <v>900</v>
      </c>
      <c r="F6" s="1745">
        <v>667</v>
      </c>
      <c r="G6" s="1745">
        <v>625</v>
      </c>
      <c r="H6" s="1745">
        <v>463</v>
      </c>
      <c r="I6" s="1745">
        <v>445</v>
      </c>
      <c r="J6" s="1745">
        <v>679</v>
      </c>
      <c r="K6" s="1745">
        <v>664</v>
      </c>
      <c r="L6" s="1745">
        <v>507</v>
      </c>
      <c r="M6" s="1745">
        <v>864</v>
      </c>
      <c r="N6" s="1745">
        <v>657</v>
      </c>
      <c r="O6" s="1745">
        <v>725</v>
      </c>
      <c r="P6" s="1745">
        <v>404</v>
      </c>
      <c r="Q6" s="1745">
        <v>808</v>
      </c>
      <c r="R6" s="155">
        <f t="shared" si="0"/>
        <v>666</v>
      </c>
      <c r="S6" s="155">
        <f t="shared" si="1"/>
        <v>667</v>
      </c>
      <c r="U6" s="56"/>
      <c r="V6" s="1405">
        <v>43545</v>
      </c>
      <c r="W6" s="1749">
        <v>2</v>
      </c>
      <c r="X6" s="1749">
        <v>4</v>
      </c>
      <c r="Y6" s="1749">
        <v>13</v>
      </c>
    </row>
    <row r="7" spans="1:25">
      <c r="A7" s="2330"/>
      <c r="B7" s="1746" t="s">
        <v>159</v>
      </c>
      <c r="C7" s="1745">
        <v>2</v>
      </c>
      <c r="D7" s="1744">
        <v>6</v>
      </c>
      <c r="E7" s="1745">
        <v>21</v>
      </c>
      <c r="F7" s="1745">
        <v>96</v>
      </c>
      <c r="G7" s="1745">
        <v>7</v>
      </c>
      <c r="H7" s="1745">
        <v>28</v>
      </c>
      <c r="I7" s="1745">
        <v>22</v>
      </c>
      <c r="J7" s="1745">
        <v>15</v>
      </c>
      <c r="K7" s="1745">
        <v>135</v>
      </c>
      <c r="L7" s="1745">
        <v>41</v>
      </c>
      <c r="M7" s="1745">
        <v>18</v>
      </c>
      <c r="N7" s="1745">
        <v>6</v>
      </c>
      <c r="O7" s="1745">
        <v>13</v>
      </c>
      <c r="P7" s="1745">
        <v>6</v>
      </c>
      <c r="Q7" s="1745">
        <v>41</v>
      </c>
      <c r="R7" s="155">
        <f t="shared" si="0"/>
        <v>30.466666666666665</v>
      </c>
      <c r="S7" s="155">
        <f t="shared" si="1"/>
        <v>18</v>
      </c>
      <c r="U7" s="56"/>
      <c r="V7" s="1405">
        <v>43563</v>
      </c>
      <c r="W7" s="1749">
        <v>2</v>
      </c>
      <c r="X7" s="1749">
        <v>4</v>
      </c>
      <c r="Y7" s="1749">
        <v>4</v>
      </c>
    </row>
    <row r="8" spans="1:25">
      <c r="A8" s="2326" t="s">
        <v>513</v>
      </c>
      <c r="B8" s="1740" t="s">
        <v>176</v>
      </c>
      <c r="C8" s="1716">
        <v>1095</v>
      </c>
      <c r="D8" s="789">
        <v>1657</v>
      </c>
      <c r="E8" s="1716">
        <v>1085</v>
      </c>
      <c r="F8" s="1716">
        <v>955</v>
      </c>
      <c r="G8" s="1716">
        <v>737</v>
      </c>
      <c r="H8" s="1716">
        <v>516</v>
      </c>
      <c r="I8" s="1716">
        <v>429</v>
      </c>
      <c r="J8" s="1716">
        <v>445</v>
      </c>
      <c r="K8" s="1716">
        <v>586</v>
      </c>
      <c r="L8" s="1716">
        <v>502</v>
      </c>
      <c r="M8" s="1716">
        <v>712</v>
      </c>
      <c r="N8" s="1716">
        <v>369</v>
      </c>
      <c r="O8" s="1716">
        <v>606</v>
      </c>
      <c r="P8" s="1716">
        <v>565</v>
      </c>
      <c r="Q8" s="1716">
        <v>576</v>
      </c>
      <c r="R8" s="155">
        <f t="shared" si="0"/>
        <v>722.33333333333337</v>
      </c>
      <c r="S8" s="155">
        <f t="shared" si="1"/>
        <v>586</v>
      </c>
      <c r="U8" s="56"/>
      <c r="V8" s="1405">
        <v>43591</v>
      </c>
      <c r="W8" s="1749">
        <v>2</v>
      </c>
      <c r="X8" s="1749">
        <v>13</v>
      </c>
      <c r="Y8" s="1749">
        <v>8</v>
      </c>
    </row>
    <row r="9" spans="1:25">
      <c r="A9" s="2328"/>
      <c r="B9" s="1740" t="s">
        <v>159</v>
      </c>
      <c r="C9" s="1716">
        <v>31</v>
      </c>
      <c r="D9" s="789">
        <v>79</v>
      </c>
      <c r="E9" s="1716">
        <v>27</v>
      </c>
      <c r="F9" s="1716">
        <v>58</v>
      </c>
      <c r="G9" s="1716">
        <v>18</v>
      </c>
      <c r="H9" s="1716">
        <v>31</v>
      </c>
      <c r="I9" s="1716">
        <v>25</v>
      </c>
      <c r="J9" s="1716">
        <v>23</v>
      </c>
      <c r="K9" s="1716">
        <v>38</v>
      </c>
      <c r="L9" s="1716">
        <v>46</v>
      </c>
      <c r="M9" s="1716">
        <v>44</v>
      </c>
      <c r="N9" s="1716">
        <v>27</v>
      </c>
      <c r="O9" s="1716">
        <v>64</v>
      </c>
      <c r="P9" s="1716">
        <v>31</v>
      </c>
      <c r="Q9" s="1716">
        <v>21</v>
      </c>
      <c r="R9" s="155">
        <f t="shared" si="0"/>
        <v>37.533333333333331</v>
      </c>
      <c r="S9" s="155">
        <f t="shared" si="1"/>
        <v>31</v>
      </c>
      <c r="U9" s="56"/>
      <c r="V9" s="1405">
        <v>43626</v>
      </c>
      <c r="W9" s="1749">
        <v>4</v>
      </c>
      <c r="X9" s="1749">
        <v>23</v>
      </c>
      <c r="Y9" s="1749">
        <v>50</v>
      </c>
    </row>
    <row r="10" spans="1:25" ht="14.5">
      <c r="A10" s="2328"/>
      <c r="B10" s="160" t="s">
        <v>691</v>
      </c>
      <c r="C10" s="1056">
        <v>20.149999999999999</v>
      </c>
      <c r="D10" s="1056">
        <v>19.3</v>
      </c>
      <c r="E10" s="1056">
        <v>13.75</v>
      </c>
      <c r="F10" s="1056">
        <v>15.9</v>
      </c>
      <c r="G10" s="1056">
        <v>1.8</v>
      </c>
      <c r="H10" s="1056">
        <v>8.9499999999999993</v>
      </c>
      <c r="I10" s="1056">
        <v>11.5</v>
      </c>
      <c r="J10" s="1056">
        <v>15.899999999999999</v>
      </c>
      <c r="K10" s="1056">
        <v>2.25</v>
      </c>
      <c r="L10" s="1056">
        <v>4.0999999999999996</v>
      </c>
      <c r="M10" s="1056">
        <v>31</v>
      </c>
      <c r="N10" s="1056">
        <v>18.600000000000001</v>
      </c>
      <c r="O10" s="1056">
        <v>26.65</v>
      </c>
      <c r="P10" s="1056">
        <v>25.25</v>
      </c>
      <c r="Q10" s="1056">
        <v>7.4</v>
      </c>
      <c r="R10" s="1043">
        <f>AVERAGE(C10:Q10)</f>
        <v>14.833333333333334</v>
      </c>
      <c r="S10" s="1043">
        <f>MEDIAN(C10:Q10)</f>
        <v>15.899999999999999</v>
      </c>
      <c r="U10" s="56"/>
      <c r="V10" s="1405">
        <v>43654</v>
      </c>
      <c r="W10" s="1749">
        <v>4</v>
      </c>
      <c r="X10" s="1749">
        <v>23</v>
      </c>
      <c r="Y10" s="1749">
        <v>50</v>
      </c>
    </row>
    <row r="11" spans="1:25">
      <c r="A11" s="2329" t="s">
        <v>514</v>
      </c>
      <c r="B11" s="1746" t="s">
        <v>176</v>
      </c>
      <c r="C11" s="1745">
        <v>810</v>
      </c>
      <c r="D11" s="1744">
        <v>1264</v>
      </c>
      <c r="E11" s="1745">
        <v>1760</v>
      </c>
      <c r="F11" s="1745">
        <v>1096</v>
      </c>
      <c r="G11" s="1745">
        <v>755</v>
      </c>
      <c r="H11" s="1745">
        <v>735</v>
      </c>
      <c r="I11" s="1745">
        <v>586</v>
      </c>
      <c r="J11" s="1745">
        <v>45</v>
      </c>
      <c r="K11" s="1745">
        <v>570</v>
      </c>
      <c r="L11" s="1745">
        <v>508</v>
      </c>
      <c r="M11" s="1745">
        <v>443</v>
      </c>
      <c r="N11" s="1745">
        <v>414</v>
      </c>
      <c r="O11" s="1745">
        <v>453</v>
      </c>
      <c r="P11" s="1745">
        <v>632</v>
      </c>
      <c r="Q11" s="1745">
        <v>676</v>
      </c>
      <c r="R11" s="155">
        <f>AVERAGE(C11:Q11)</f>
        <v>716.4666666666667</v>
      </c>
      <c r="S11" s="155">
        <f t="shared" ref="S11:S18" si="2">MEDIAN(C11:Q11)</f>
        <v>632</v>
      </c>
      <c r="U11" s="56"/>
      <c r="V11" s="1405">
        <v>43682</v>
      </c>
      <c r="W11" s="1749">
        <v>2</v>
      </c>
      <c r="X11" s="1749">
        <v>23</v>
      </c>
      <c r="Y11" s="1749">
        <v>23</v>
      </c>
    </row>
    <row r="12" spans="1:25">
      <c r="A12" s="2330"/>
      <c r="B12" s="1746" t="s">
        <v>159</v>
      </c>
      <c r="C12" s="1745">
        <v>65</v>
      </c>
      <c r="D12" s="1744">
        <v>38</v>
      </c>
      <c r="E12" s="1745">
        <v>42</v>
      </c>
      <c r="F12" s="1745">
        <v>93</v>
      </c>
      <c r="G12" s="1745">
        <v>25</v>
      </c>
      <c r="H12" s="1745">
        <v>48</v>
      </c>
      <c r="I12" s="1745">
        <v>51</v>
      </c>
      <c r="J12" s="1745">
        <v>543</v>
      </c>
      <c r="K12" s="1745">
        <v>90</v>
      </c>
      <c r="L12" s="1745">
        <v>79</v>
      </c>
      <c r="M12" s="1745">
        <v>48</v>
      </c>
      <c r="N12" s="1745">
        <v>61</v>
      </c>
      <c r="O12" s="1745">
        <v>61</v>
      </c>
      <c r="P12" s="1745">
        <v>37</v>
      </c>
      <c r="Q12" s="1745">
        <v>223</v>
      </c>
      <c r="R12" s="155">
        <f>AVERAGE(C12:Q12)</f>
        <v>100.26666666666667</v>
      </c>
      <c r="S12" s="155">
        <f t="shared" si="2"/>
        <v>61</v>
      </c>
      <c r="U12" s="56"/>
      <c r="V12" s="1405">
        <v>43717</v>
      </c>
      <c r="W12" s="1749">
        <v>2</v>
      </c>
      <c r="X12" s="1749">
        <v>240</v>
      </c>
      <c r="Y12" s="1749">
        <v>30</v>
      </c>
    </row>
    <row r="13" spans="1:25">
      <c r="A13" s="2326" t="s">
        <v>185</v>
      </c>
      <c r="B13" s="1740" t="s">
        <v>176</v>
      </c>
      <c r="C13" s="1716">
        <v>926</v>
      </c>
      <c r="D13" s="789">
        <v>1350</v>
      </c>
      <c r="E13" s="1716">
        <v>1143</v>
      </c>
      <c r="F13" s="1716">
        <v>799</v>
      </c>
      <c r="G13" s="1716">
        <v>811</v>
      </c>
      <c r="H13" s="1716">
        <v>521</v>
      </c>
      <c r="I13" s="1716">
        <v>409</v>
      </c>
      <c r="J13" s="1716">
        <v>374</v>
      </c>
      <c r="K13" s="1716">
        <v>484</v>
      </c>
      <c r="L13" s="1716">
        <v>454</v>
      </c>
      <c r="M13" s="1716">
        <v>572</v>
      </c>
      <c r="N13" s="1716">
        <v>546</v>
      </c>
      <c r="O13" s="1716">
        <v>371</v>
      </c>
      <c r="P13" s="1716">
        <v>426</v>
      </c>
      <c r="Q13" s="1716">
        <v>474</v>
      </c>
      <c r="R13" s="155">
        <f>AVERAGE(C13:Q13)</f>
        <v>644</v>
      </c>
      <c r="S13" s="155">
        <f t="shared" si="2"/>
        <v>521</v>
      </c>
      <c r="U13" s="56"/>
      <c r="V13" s="1405">
        <v>43752</v>
      </c>
      <c r="W13" s="1749">
        <v>2</v>
      </c>
      <c r="X13" s="1749">
        <v>30</v>
      </c>
      <c r="Y13" s="1749">
        <v>23</v>
      </c>
    </row>
    <row r="14" spans="1:25">
      <c r="A14" s="2327"/>
      <c r="B14" s="1740" t="s">
        <v>159</v>
      </c>
      <c r="C14" s="1716">
        <v>37</v>
      </c>
      <c r="D14" s="789">
        <v>47</v>
      </c>
      <c r="E14" s="1716">
        <v>37</v>
      </c>
      <c r="F14" s="1716">
        <v>49</v>
      </c>
      <c r="G14" s="1716">
        <v>28</v>
      </c>
      <c r="H14" s="1716">
        <v>24</v>
      </c>
      <c r="I14" s="1716">
        <v>33</v>
      </c>
      <c r="J14" s="1716">
        <v>24</v>
      </c>
      <c r="K14" s="1716">
        <v>40</v>
      </c>
      <c r="L14" s="1716">
        <v>47</v>
      </c>
      <c r="M14" s="1716">
        <v>35</v>
      </c>
      <c r="N14" s="1716">
        <v>55</v>
      </c>
      <c r="O14" s="1716">
        <v>33</v>
      </c>
      <c r="P14" s="1716">
        <v>21</v>
      </c>
      <c r="Q14" s="1716">
        <v>13</v>
      </c>
      <c r="R14" s="155">
        <f>AVERAGE(C14:Q14)</f>
        <v>34.866666666666667</v>
      </c>
      <c r="S14" s="155">
        <f t="shared" si="2"/>
        <v>35</v>
      </c>
      <c r="U14" s="56"/>
      <c r="V14" s="1405">
        <v>43783</v>
      </c>
      <c r="W14" s="1749">
        <v>2</v>
      </c>
      <c r="X14" s="1749">
        <v>4</v>
      </c>
      <c r="Y14" s="1749">
        <v>2</v>
      </c>
    </row>
    <row r="15" spans="1:25">
      <c r="A15" s="2327"/>
      <c r="B15" s="1747" t="s">
        <v>388</v>
      </c>
      <c r="C15" s="1748">
        <v>8</v>
      </c>
      <c r="D15" s="789">
        <v>4</v>
      </c>
      <c r="E15" s="1749">
        <v>2</v>
      </c>
      <c r="F15" s="1749">
        <v>2</v>
      </c>
      <c r="G15" s="1749">
        <v>2</v>
      </c>
      <c r="H15" s="1749">
        <v>4</v>
      </c>
      <c r="I15" s="1749">
        <v>4</v>
      </c>
      <c r="J15" s="31"/>
      <c r="K15" s="1749">
        <v>2</v>
      </c>
      <c r="L15" s="31"/>
      <c r="M15" s="1749">
        <v>2</v>
      </c>
      <c r="N15" s="31"/>
      <c r="O15" s="1749">
        <v>2</v>
      </c>
      <c r="P15" s="1749">
        <v>2</v>
      </c>
      <c r="Q15" s="1749">
        <v>2</v>
      </c>
      <c r="R15" s="155"/>
      <c r="S15" s="155"/>
      <c r="U15" s="56"/>
      <c r="V15" s="1751">
        <v>43808</v>
      </c>
      <c r="W15" s="1749">
        <v>2</v>
      </c>
      <c r="X15" s="1749">
        <v>13</v>
      </c>
      <c r="Y15" s="1749">
        <v>2</v>
      </c>
    </row>
    <row r="16" spans="1:25" ht="14" customHeight="1">
      <c r="A16" s="2325" t="s">
        <v>943</v>
      </c>
      <c r="B16" s="1746" t="s">
        <v>176</v>
      </c>
      <c r="C16" s="1745">
        <v>1442</v>
      </c>
      <c r="D16" s="1744">
        <v>1542</v>
      </c>
      <c r="E16" s="1745">
        <v>1136</v>
      </c>
      <c r="F16" s="1745">
        <v>884</v>
      </c>
      <c r="G16" s="1745">
        <v>624</v>
      </c>
      <c r="H16" s="1745">
        <v>522</v>
      </c>
      <c r="I16" s="1745">
        <v>477</v>
      </c>
      <c r="J16" s="1745">
        <v>617</v>
      </c>
      <c r="K16" s="1745">
        <v>505</v>
      </c>
      <c r="L16" s="1745">
        <v>506</v>
      </c>
      <c r="M16" s="1745">
        <v>679</v>
      </c>
      <c r="N16" s="1745">
        <v>911</v>
      </c>
      <c r="O16" s="1745">
        <v>650</v>
      </c>
      <c r="P16" s="1745">
        <v>779</v>
      </c>
      <c r="Q16" s="1745">
        <v>835</v>
      </c>
      <c r="R16" s="155">
        <f>AVERAGE(C16:Q16)</f>
        <v>807.26666666666665</v>
      </c>
      <c r="S16" s="155">
        <f t="shared" si="2"/>
        <v>679</v>
      </c>
      <c r="U16" s="56"/>
      <c r="V16" s="1284" t="s">
        <v>1690</v>
      </c>
      <c r="W16" s="1752">
        <f>GEOMEAN(W4:W15)</f>
        <v>2.6696797083400687</v>
      </c>
      <c r="X16" s="1752">
        <f t="shared" ref="X16:Y16" si="3">GEOMEAN(X4:X15)</f>
        <v>12.403927711591463</v>
      </c>
      <c r="Y16" s="1752">
        <f t="shared" si="3"/>
        <v>10.922929070639801</v>
      </c>
    </row>
    <row r="17" spans="1:23">
      <c r="A17" s="2325"/>
      <c r="B17" s="1746" t="s">
        <v>159</v>
      </c>
      <c r="C17" s="1745">
        <v>44</v>
      </c>
      <c r="D17" s="1744">
        <v>28</v>
      </c>
      <c r="E17" s="1745">
        <v>30</v>
      </c>
      <c r="F17" s="1745">
        <v>71</v>
      </c>
      <c r="G17" s="1745">
        <v>17</v>
      </c>
      <c r="H17" s="1745">
        <v>35</v>
      </c>
      <c r="I17" s="1745">
        <v>59</v>
      </c>
      <c r="J17" s="1745">
        <v>62</v>
      </c>
      <c r="K17" s="1745">
        <v>42</v>
      </c>
      <c r="L17" s="1745">
        <v>54</v>
      </c>
      <c r="M17" s="1745">
        <v>89</v>
      </c>
      <c r="N17" s="1745">
        <v>111</v>
      </c>
      <c r="O17" s="1745">
        <v>18</v>
      </c>
      <c r="P17" s="1745">
        <v>21</v>
      </c>
      <c r="Q17" s="1745">
        <v>9</v>
      </c>
      <c r="R17" s="155">
        <f>AVERAGE(C17:Q17)</f>
        <v>46</v>
      </c>
      <c r="S17" s="155">
        <f t="shared" si="2"/>
        <v>42</v>
      </c>
      <c r="V17" s="1750"/>
      <c r="W17" s="1713"/>
    </row>
    <row r="18" spans="1:23">
      <c r="A18" s="2325"/>
      <c r="B18" s="1742" t="s">
        <v>388</v>
      </c>
      <c r="C18" s="1745">
        <v>7</v>
      </c>
      <c r="D18" s="1744">
        <v>2</v>
      </c>
      <c r="E18" s="1745">
        <v>4</v>
      </c>
      <c r="F18" s="1745">
        <v>4</v>
      </c>
      <c r="G18" s="1745">
        <v>13</v>
      </c>
      <c r="H18" s="1745">
        <v>23</v>
      </c>
      <c r="I18" s="1745">
        <v>23</v>
      </c>
      <c r="J18" s="1743"/>
      <c r="K18" s="1745">
        <v>23</v>
      </c>
      <c r="L18" s="1743"/>
      <c r="M18" s="1745">
        <v>240</v>
      </c>
      <c r="N18" s="1743"/>
      <c r="O18" s="1745">
        <v>30</v>
      </c>
      <c r="P18" s="1745">
        <v>4</v>
      </c>
      <c r="Q18" s="1745">
        <v>13</v>
      </c>
      <c r="R18" s="155">
        <f>GEOMEAN(C18:Q18)</f>
        <v>12.403927711591463</v>
      </c>
      <c r="S18" s="155">
        <f t="shared" si="2"/>
        <v>13</v>
      </c>
      <c r="V18" s="1750"/>
      <c r="W18" s="1713"/>
    </row>
    <row r="19" spans="1:23">
      <c r="A19" s="58"/>
      <c r="B19" s="59"/>
      <c r="C19" s="12"/>
      <c r="D19" s="60"/>
      <c r="E19" s="46"/>
      <c r="F19" s="46"/>
      <c r="G19" s="12"/>
      <c r="H19" s="12"/>
      <c r="I19" s="12"/>
      <c r="J19" s="12"/>
      <c r="K19" s="47"/>
      <c r="L19" s="47"/>
    </row>
    <row r="20" spans="1:23">
      <c r="A20" s="58"/>
      <c r="B20" s="46" t="s">
        <v>969</v>
      </c>
      <c r="C20" s="574">
        <v>22.2</v>
      </c>
      <c r="D20" s="574">
        <v>22.2</v>
      </c>
      <c r="E20" s="574">
        <v>22.2</v>
      </c>
      <c r="F20" s="574">
        <v>22.2</v>
      </c>
      <c r="G20" s="574">
        <v>22.2</v>
      </c>
      <c r="H20" s="574">
        <v>22.2</v>
      </c>
      <c r="I20" s="574">
        <v>22.2</v>
      </c>
      <c r="J20" s="574">
        <v>22.2</v>
      </c>
      <c r="K20" s="574">
        <v>22.2</v>
      </c>
      <c r="L20" s="574">
        <v>22.2</v>
      </c>
      <c r="M20" s="574">
        <v>22.2</v>
      </c>
      <c r="N20" s="574">
        <v>22.2</v>
      </c>
      <c r="O20" s="574">
        <v>22.2</v>
      </c>
      <c r="P20" s="574">
        <v>22.2</v>
      </c>
      <c r="Q20" s="574">
        <v>22.2</v>
      </c>
    </row>
    <row r="21" spans="1:23">
      <c r="A21" s="58"/>
      <c r="B21" s="46" t="s">
        <v>970</v>
      </c>
      <c r="C21" s="574">
        <v>12.2</v>
      </c>
      <c r="D21" s="574">
        <v>12.2</v>
      </c>
      <c r="E21" s="574">
        <v>12.2</v>
      </c>
      <c r="F21" s="574">
        <v>12.2</v>
      </c>
      <c r="G21" s="574">
        <v>12.2</v>
      </c>
      <c r="H21" s="574">
        <v>12.2</v>
      </c>
      <c r="I21" s="574">
        <v>12.2</v>
      </c>
      <c r="J21" s="574">
        <v>12.2</v>
      </c>
      <c r="K21" s="574">
        <v>12.2</v>
      </c>
      <c r="L21" s="574">
        <v>12.2</v>
      </c>
      <c r="M21" s="574">
        <v>12.2</v>
      </c>
      <c r="N21" s="574">
        <v>12.2</v>
      </c>
      <c r="O21" s="574">
        <v>12.2</v>
      </c>
      <c r="P21" s="574">
        <v>12.2</v>
      </c>
      <c r="Q21" s="574">
        <v>12.2</v>
      </c>
    </row>
    <row r="22" spans="1:23">
      <c r="A22" s="58"/>
      <c r="B22" s="59"/>
      <c r="C22" s="12"/>
      <c r="D22" s="60"/>
      <c r="E22" s="46"/>
      <c r="F22" s="46"/>
      <c r="G22" s="51"/>
      <c r="H22" s="12"/>
      <c r="I22" s="49"/>
      <c r="J22" s="49"/>
      <c r="K22" s="50"/>
      <c r="L22" s="50"/>
    </row>
    <row r="23" spans="1:23">
      <c r="A23" s="12"/>
      <c r="B23" s="59"/>
      <c r="C23" s="12"/>
      <c r="D23" s="60"/>
      <c r="E23" s="46"/>
      <c r="F23" s="46"/>
      <c r="G23" s="12"/>
      <c r="H23" s="12"/>
      <c r="I23" s="12"/>
      <c r="J23" s="12"/>
      <c r="K23" s="47"/>
      <c r="L23" s="47"/>
    </row>
    <row r="24" spans="1:23">
      <c r="A24" s="12"/>
      <c r="B24" s="59"/>
      <c r="C24" s="12"/>
      <c r="D24" s="60"/>
      <c r="E24" s="46"/>
      <c r="F24" s="46"/>
      <c r="G24" s="12"/>
      <c r="H24" s="12"/>
      <c r="I24" s="12"/>
      <c r="J24" s="12"/>
      <c r="K24" s="47"/>
      <c r="L24" s="47"/>
    </row>
    <row r="25" spans="1:23">
      <c r="A25" s="12"/>
      <c r="B25" s="59"/>
      <c r="C25" s="12"/>
      <c r="D25" s="60"/>
      <c r="E25" s="46"/>
      <c r="F25" s="46"/>
      <c r="G25" s="12"/>
      <c r="H25" s="12"/>
      <c r="I25" s="12"/>
      <c r="J25" s="12"/>
      <c r="K25" s="54"/>
      <c r="L25" s="54"/>
    </row>
    <row r="26" spans="1:23">
      <c r="A26" s="12"/>
      <c r="B26" s="59"/>
      <c r="C26" s="12"/>
      <c r="D26" s="60"/>
      <c r="E26" s="46"/>
      <c r="F26" s="46"/>
      <c r="G26" s="51"/>
      <c r="H26" s="12"/>
      <c r="I26" s="49"/>
      <c r="J26" s="49"/>
      <c r="K26" s="50"/>
      <c r="L26" s="50"/>
    </row>
    <row r="27" spans="1:23">
      <c r="A27" s="58"/>
      <c r="B27" s="59"/>
      <c r="C27" s="12"/>
      <c r="D27" s="60"/>
      <c r="E27" s="46"/>
      <c r="F27" s="46"/>
      <c r="G27" s="56"/>
      <c r="H27" s="12"/>
      <c r="I27" s="52"/>
      <c r="J27" s="52"/>
      <c r="K27" s="57"/>
      <c r="L27" s="57"/>
    </row>
    <row r="28" spans="1:23">
      <c r="A28" s="58"/>
      <c r="B28" s="59"/>
      <c r="C28" s="12"/>
      <c r="D28" s="60"/>
      <c r="E28" s="46"/>
      <c r="F28" s="46"/>
      <c r="G28" s="12"/>
      <c r="H28" s="12"/>
      <c r="I28" s="12"/>
      <c r="J28" s="12"/>
      <c r="K28" s="47"/>
      <c r="L28" s="47"/>
    </row>
    <row r="29" spans="1:23">
      <c r="A29" s="58"/>
      <c r="B29" s="59"/>
      <c r="C29" s="12"/>
      <c r="D29" s="60"/>
      <c r="E29" s="46"/>
      <c r="F29" s="46"/>
      <c r="G29" s="12"/>
      <c r="H29" s="12"/>
      <c r="I29" s="12"/>
      <c r="J29" s="12"/>
      <c r="K29" s="47"/>
      <c r="L29" s="47"/>
    </row>
    <row r="30" spans="1:23">
      <c r="A30" s="58"/>
      <c r="B30" s="59"/>
      <c r="C30" s="12"/>
      <c r="D30" s="60"/>
      <c r="E30" s="46"/>
      <c r="F30" s="46"/>
      <c r="G30" s="12"/>
      <c r="H30" s="12"/>
      <c r="I30" s="12"/>
      <c r="J30" s="12"/>
      <c r="K30" s="54"/>
      <c r="L30" s="54"/>
    </row>
    <row r="31" spans="1:23">
      <c r="A31" s="58"/>
      <c r="B31" s="59"/>
      <c r="C31" s="12"/>
      <c r="D31" s="60"/>
      <c r="E31" s="46"/>
      <c r="F31" s="46"/>
      <c r="G31" s="51"/>
      <c r="H31" s="12"/>
      <c r="I31" s="49"/>
      <c r="J31" s="49"/>
      <c r="K31" s="50"/>
      <c r="L31" s="50"/>
    </row>
    <row r="32" spans="1:23">
      <c r="C32" s="12"/>
      <c r="D32" s="60"/>
      <c r="E32" s="46"/>
      <c r="F32" s="46"/>
      <c r="G32" s="12"/>
      <c r="H32" s="12"/>
      <c r="I32" s="12"/>
      <c r="J32" s="12"/>
      <c r="K32" s="47"/>
      <c r="L32" s="47"/>
    </row>
    <row r="33" spans="3:12">
      <c r="C33" s="12"/>
      <c r="D33" s="60"/>
      <c r="E33" s="46"/>
      <c r="F33" s="46"/>
      <c r="G33" s="12"/>
      <c r="H33" s="12"/>
      <c r="I33" s="12"/>
      <c r="J33" s="12"/>
      <c r="K33" s="47"/>
      <c r="L33" s="47"/>
    </row>
    <row r="34" spans="3:12">
      <c r="C34" s="12"/>
      <c r="D34" s="60"/>
      <c r="E34" s="46"/>
      <c r="F34" s="46"/>
      <c r="G34" s="12"/>
      <c r="H34" s="12"/>
      <c r="I34" s="12"/>
      <c r="J34" s="12"/>
      <c r="K34" s="54"/>
      <c r="L34" s="54"/>
    </row>
    <row r="35" spans="3:12">
      <c r="C35" s="12"/>
      <c r="D35" s="60"/>
      <c r="E35" s="46"/>
      <c r="F35" s="46"/>
      <c r="G35" s="51"/>
      <c r="H35" s="12"/>
      <c r="I35" s="49"/>
      <c r="J35" s="49"/>
      <c r="K35" s="50"/>
      <c r="L35" s="50"/>
    </row>
    <row r="36" spans="3:12">
      <c r="C36" s="12"/>
      <c r="D36" s="60"/>
      <c r="E36" s="46"/>
      <c r="F36" s="46"/>
      <c r="G36" s="12"/>
      <c r="H36" s="12"/>
      <c r="I36" s="12"/>
      <c r="J36" s="12"/>
      <c r="K36" s="47"/>
      <c r="L36" s="47"/>
    </row>
    <row r="37" spans="3:12">
      <c r="C37" s="12"/>
      <c r="D37" s="60"/>
      <c r="E37" s="46"/>
      <c r="F37" s="46"/>
      <c r="G37" s="12"/>
      <c r="H37" s="12"/>
      <c r="I37" s="12"/>
      <c r="J37" s="12"/>
      <c r="K37" s="47"/>
      <c r="L37" s="47"/>
    </row>
    <row r="38" spans="3:12">
      <c r="C38" s="12"/>
      <c r="D38" s="60"/>
      <c r="E38" s="46"/>
      <c r="F38" s="46"/>
      <c r="G38" s="12"/>
      <c r="H38" s="12"/>
      <c r="I38" s="12"/>
      <c r="J38" s="12"/>
      <c r="K38" s="54"/>
      <c r="L38" s="54"/>
    </row>
    <row r="39" spans="3:12">
      <c r="C39" s="12"/>
      <c r="D39" s="60"/>
      <c r="E39" s="46"/>
      <c r="F39" s="46"/>
      <c r="G39" s="51"/>
      <c r="H39" s="12"/>
      <c r="I39" s="49"/>
      <c r="J39" s="49"/>
      <c r="K39" s="50"/>
      <c r="L39" s="50"/>
    </row>
  </sheetData>
  <mergeCells count="7">
    <mergeCell ref="A16:A18"/>
    <mergeCell ref="A13:A15"/>
    <mergeCell ref="A1:R1"/>
    <mergeCell ref="A3:A4"/>
    <mergeCell ref="A6:A7"/>
    <mergeCell ref="A8:A10"/>
    <mergeCell ref="A11:A12"/>
  </mergeCells>
  <pageMargins left="0.7" right="0.7" top="0.75" bottom="0.75" header="0.3" footer="0.3"/>
  <pageSetup scale="94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59999389629810485"/>
  </sheetPr>
  <dimension ref="A1:P31"/>
  <sheetViews>
    <sheetView topLeftCell="B19" workbookViewId="0">
      <selection activeCell="H32" sqref="H32"/>
    </sheetView>
  </sheetViews>
  <sheetFormatPr defaultRowHeight="14"/>
  <cols>
    <col min="1" max="1" width="9.36328125" bestFit="1" customWidth="1"/>
    <col min="2" max="2" width="9.90625" bestFit="1" customWidth="1"/>
    <col min="3" max="3" width="14.6328125" bestFit="1" customWidth="1"/>
    <col min="4" max="4" width="14.08984375" bestFit="1" customWidth="1"/>
    <col min="5" max="5" width="14.90625" bestFit="1" customWidth="1"/>
    <col min="6" max="6" width="8.90625" bestFit="1" customWidth="1"/>
    <col min="7" max="7" width="16.54296875" bestFit="1" customWidth="1"/>
    <col min="8" max="8" width="9.90625" bestFit="1" customWidth="1"/>
    <col min="9" max="9" width="8.90625" bestFit="1" customWidth="1"/>
    <col min="10" max="10" width="9.90625" bestFit="1" customWidth="1"/>
    <col min="11" max="11" width="5.7265625" bestFit="1" customWidth="1"/>
    <col min="12" max="12" width="4.36328125" bestFit="1" customWidth="1"/>
    <col min="13" max="13" width="4.1796875" bestFit="1" customWidth="1"/>
    <col min="14" max="14" width="13.08984375" bestFit="1" customWidth="1"/>
    <col min="16" max="16" width="9.90625" bestFit="1" customWidth="1"/>
    <col min="20" max="20" width="14.81640625" bestFit="1" customWidth="1"/>
  </cols>
  <sheetData>
    <row r="1" spans="1:16">
      <c r="A1" s="528" t="s">
        <v>712</v>
      </c>
      <c r="B1" s="528" t="s">
        <v>713</v>
      </c>
      <c r="C1" s="529" t="s">
        <v>714</v>
      </c>
      <c r="D1" s="529" t="s">
        <v>715</v>
      </c>
      <c r="E1" s="528" t="s">
        <v>716</v>
      </c>
      <c r="F1" s="528" t="s">
        <v>717</v>
      </c>
      <c r="G1" s="528" t="s">
        <v>910</v>
      </c>
      <c r="H1" s="528" t="s">
        <v>718</v>
      </c>
      <c r="I1" s="530" t="s">
        <v>718</v>
      </c>
      <c r="J1" s="528" t="s">
        <v>911</v>
      </c>
      <c r="K1" s="528" t="s">
        <v>912</v>
      </c>
      <c r="L1" s="531" t="s">
        <v>913</v>
      </c>
      <c r="M1" s="531" t="s">
        <v>478</v>
      </c>
      <c r="N1" s="529" t="s">
        <v>914</v>
      </c>
    </row>
    <row r="2" spans="1:16">
      <c r="A2" s="435" t="s">
        <v>1559</v>
      </c>
      <c r="B2" s="60" t="s">
        <v>1560</v>
      </c>
      <c r="C2" s="92">
        <v>43507</v>
      </c>
      <c r="D2" s="92">
        <v>43507</v>
      </c>
      <c r="E2" s="228" t="s">
        <v>177</v>
      </c>
      <c r="F2" s="435" t="s">
        <v>719</v>
      </c>
      <c r="G2" s="1389" t="s">
        <v>916</v>
      </c>
      <c r="H2" s="227">
        <v>2562</v>
      </c>
      <c r="I2" s="228">
        <v>2562</v>
      </c>
      <c r="J2" s="227"/>
      <c r="K2" s="435" t="s">
        <v>917</v>
      </c>
      <c r="L2" s="174">
        <v>6</v>
      </c>
      <c r="M2" s="174">
        <v>42</v>
      </c>
      <c r="N2" s="175">
        <v>43523</v>
      </c>
      <c r="P2" s="45">
        <v>43507</v>
      </c>
    </row>
    <row r="3" spans="1:16">
      <c r="A3" s="435" t="s">
        <v>1559</v>
      </c>
      <c r="B3" s="60" t="s">
        <v>1560</v>
      </c>
      <c r="C3" s="92">
        <v>43507</v>
      </c>
      <c r="D3" s="92">
        <v>43507</v>
      </c>
      <c r="E3" s="435" t="s">
        <v>159</v>
      </c>
      <c r="F3" s="435" t="s">
        <v>719</v>
      </c>
      <c r="G3" s="1389" t="s">
        <v>918</v>
      </c>
      <c r="H3" s="227">
        <v>24</v>
      </c>
      <c r="I3" s="228">
        <v>24</v>
      </c>
      <c r="J3" s="227"/>
      <c r="K3" s="435" t="s">
        <v>917</v>
      </c>
      <c r="L3" s="174">
        <v>2</v>
      </c>
      <c r="M3" s="174">
        <v>8</v>
      </c>
      <c r="N3" s="175">
        <v>43523</v>
      </c>
      <c r="P3" s="45">
        <v>43563</v>
      </c>
    </row>
    <row r="4" spans="1:16">
      <c r="A4" s="435" t="s">
        <v>1561</v>
      </c>
      <c r="B4" s="60" t="s">
        <v>1562</v>
      </c>
      <c r="C4" s="92">
        <v>43507</v>
      </c>
      <c r="D4" s="92">
        <v>43507</v>
      </c>
      <c r="E4" s="228" t="s">
        <v>177</v>
      </c>
      <c r="F4" s="435" t="s">
        <v>719</v>
      </c>
      <c r="G4" s="1389" t="s">
        <v>916</v>
      </c>
      <c r="H4" s="227">
        <v>2424</v>
      </c>
      <c r="I4" s="228">
        <v>2424</v>
      </c>
      <c r="J4" s="227"/>
      <c r="K4" s="435" t="s">
        <v>917</v>
      </c>
      <c r="L4" s="174">
        <v>6</v>
      </c>
      <c r="M4" s="174">
        <v>42</v>
      </c>
      <c r="N4" s="175">
        <v>43523</v>
      </c>
      <c r="P4" s="45">
        <v>43626</v>
      </c>
    </row>
    <row r="5" spans="1:16">
      <c r="A5" s="435" t="s">
        <v>1561</v>
      </c>
      <c r="B5" s="60" t="s">
        <v>1562</v>
      </c>
      <c r="C5" s="92">
        <v>43507</v>
      </c>
      <c r="D5" s="92">
        <v>43507</v>
      </c>
      <c r="E5" s="435" t="s">
        <v>159</v>
      </c>
      <c r="F5" s="435" t="s">
        <v>719</v>
      </c>
      <c r="G5" s="1389" t="s">
        <v>918</v>
      </c>
      <c r="H5" s="227">
        <v>23</v>
      </c>
      <c r="I5" s="228">
        <v>23</v>
      </c>
      <c r="J5" s="227"/>
      <c r="K5" s="435" t="s">
        <v>917</v>
      </c>
      <c r="L5" s="174">
        <v>2</v>
      </c>
      <c r="M5" s="174">
        <v>8</v>
      </c>
      <c r="N5" s="175">
        <v>43523</v>
      </c>
      <c r="P5" s="45">
        <v>43682</v>
      </c>
    </row>
    <row r="6" spans="1:16">
      <c r="A6" s="1454" t="s">
        <v>1584</v>
      </c>
      <c r="B6" s="1459" t="s">
        <v>1560</v>
      </c>
      <c r="C6" s="1458">
        <v>43563</v>
      </c>
      <c r="D6" s="1458">
        <v>43563</v>
      </c>
      <c r="E6" s="1465" t="s">
        <v>177</v>
      </c>
      <c r="F6" s="1454" t="s">
        <v>719</v>
      </c>
      <c r="G6" s="1460" t="s">
        <v>916</v>
      </c>
      <c r="H6" s="1456">
        <v>1052</v>
      </c>
      <c r="I6" s="1461">
        <v>1052</v>
      </c>
      <c r="J6" s="1456"/>
      <c r="K6" s="1454" t="s">
        <v>917</v>
      </c>
      <c r="L6" s="1457">
        <v>6</v>
      </c>
      <c r="M6" s="1457">
        <v>42</v>
      </c>
      <c r="N6" s="1455">
        <v>43565</v>
      </c>
      <c r="P6" s="45">
        <v>43752</v>
      </c>
    </row>
    <row r="7" spans="1:16">
      <c r="A7" s="1454" t="s">
        <v>1584</v>
      </c>
      <c r="B7" s="1459" t="s">
        <v>1560</v>
      </c>
      <c r="C7" s="1458">
        <v>43563</v>
      </c>
      <c r="D7" s="1458">
        <v>43563</v>
      </c>
      <c r="E7" s="1454" t="s">
        <v>159</v>
      </c>
      <c r="F7" s="1454" t="s">
        <v>719</v>
      </c>
      <c r="G7" s="1460" t="s">
        <v>918</v>
      </c>
      <c r="H7" s="1456">
        <v>28</v>
      </c>
      <c r="I7" s="1461">
        <v>28</v>
      </c>
      <c r="J7" s="1456"/>
      <c r="K7" s="1454" t="s">
        <v>917</v>
      </c>
      <c r="L7" s="1457">
        <v>2</v>
      </c>
      <c r="M7" s="1457">
        <v>8</v>
      </c>
      <c r="N7" s="1455">
        <v>43565</v>
      </c>
      <c r="P7" s="45">
        <v>43808</v>
      </c>
    </row>
    <row r="8" spans="1:16">
      <c r="A8" s="1454" t="s">
        <v>1585</v>
      </c>
      <c r="B8" s="1459" t="s">
        <v>1562</v>
      </c>
      <c r="C8" s="1458">
        <v>43563</v>
      </c>
      <c r="D8" s="1458">
        <v>43563</v>
      </c>
      <c r="E8" s="1465" t="s">
        <v>177</v>
      </c>
      <c r="F8" s="1454" t="s">
        <v>719</v>
      </c>
      <c r="G8" s="1460" t="s">
        <v>916</v>
      </c>
      <c r="H8" s="1456">
        <v>860</v>
      </c>
      <c r="I8" s="1461">
        <v>860</v>
      </c>
      <c r="J8" s="1456"/>
      <c r="K8" s="1454" t="s">
        <v>917</v>
      </c>
      <c r="L8" s="1457">
        <v>6</v>
      </c>
      <c r="M8" s="1457">
        <v>42</v>
      </c>
      <c r="N8" s="1455">
        <v>43565</v>
      </c>
      <c r="P8" s="45"/>
    </row>
    <row r="9" spans="1:16">
      <c r="A9" s="1454" t="s">
        <v>1585</v>
      </c>
      <c r="B9" s="1459" t="s">
        <v>1562</v>
      </c>
      <c r="C9" s="1458">
        <v>43563</v>
      </c>
      <c r="D9" s="1458">
        <v>43563</v>
      </c>
      <c r="E9" s="1454" t="s">
        <v>159</v>
      </c>
      <c r="F9" s="1454" t="s">
        <v>719</v>
      </c>
      <c r="G9" s="1460" t="s">
        <v>918</v>
      </c>
      <c r="H9" s="1456">
        <v>27</v>
      </c>
      <c r="I9" s="1461">
        <v>27</v>
      </c>
      <c r="J9" s="1456"/>
      <c r="K9" s="1454" t="s">
        <v>917</v>
      </c>
      <c r="L9" s="1457">
        <v>2</v>
      </c>
      <c r="M9" s="1457">
        <v>8</v>
      </c>
      <c r="N9" s="1455">
        <v>43565</v>
      </c>
      <c r="P9" s="45"/>
    </row>
    <row r="10" spans="1:16">
      <c r="A10" s="1496" t="s">
        <v>1606</v>
      </c>
      <c r="B10" s="1501" t="s">
        <v>1560</v>
      </c>
      <c r="C10" s="1500">
        <v>43626</v>
      </c>
      <c r="D10" s="1500">
        <v>43626</v>
      </c>
      <c r="E10" s="1507" t="s">
        <v>177</v>
      </c>
      <c r="F10" s="1496" t="s">
        <v>719</v>
      </c>
      <c r="G10" s="1502" t="s">
        <v>916</v>
      </c>
      <c r="H10" s="1498">
        <v>957</v>
      </c>
      <c r="I10" s="1503">
        <v>957</v>
      </c>
      <c r="J10" s="1498"/>
      <c r="K10" s="1496" t="s">
        <v>917</v>
      </c>
      <c r="L10" s="1499">
        <v>26</v>
      </c>
      <c r="M10" s="1499">
        <v>104</v>
      </c>
      <c r="N10" s="1497">
        <v>43636</v>
      </c>
      <c r="P10" s="45"/>
    </row>
    <row r="11" spans="1:16">
      <c r="A11" s="1496" t="s">
        <v>1606</v>
      </c>
      <c r="B11" s="1501" t="s">
        <v>1560</v>
      </c>
      <c r="C11" s="1500">
        <v>43626</v>
      </c>
      <c r="D11" s="1500">
        <v>43626</v>
      </c>
      <c r="E11" s="1496" t="s">
        <v>159</v>
      </c>
      <c r="F11" s="1496" t="s">
        <v>719</v>
      </c>
      <c r="G11" s="1502" t="s">
        <v>918</v>
      </c>
      <c r="H11" s="1498">
        <v>77</v>
      </c>
      <c r="I11" s="1503">
        <v>77</v>
      </c>
      <c r="J11" s="1498"/>
      <c r="K11" s="1496" t="s">
        <v>917</v>
      </c>
      <c r="L11" s="1499">
        <v>6</v>
      </c>
      <c r="M11" s="1499">
        <v>24</v>
      </c>
      <c r="N11" s="1497">
        <v>43636</v>
      </c>
    </row>
    <row r="12" spans="1:16">
      <c r="A12" s="1496" t="s">
        <v>1607</v>
      </c>
      <c r="B12" s="1501" t="s">
        <v>1562</v>
      </c>
      <c r="C12" s="1500">
        <v>43626</v>
      </c>
      <c r="D12" s="1500">
        <v>43626</v>
      </c>
      <c r="E12" s="1507" t="s">
        <v>177</v>
      </c>
      <c r="F12" s="1496" t="s">
        <v>719</v>
      </c>
      <c r="G12" s="1502" t="s">
        <v>916</v>
      </c>
      <c r="H12" s="1498">
        <v>885</v>
      </c>
      <c r="I12" s="1503">
        <v>885</v>
      </c>
      <c r="J12" s="1498"/>
      <c r="K12" s="1496" t="s">
        <v>917</v>
      </c>
      <c r="L12" s="1499">
        <v>26</v>
      </c>
      <c r="M12" s="1499">
        <v>104</v>
      </c>
      <c r="N12" s="1497">
        <v>43636</v>
      </c>
    </row>
    <row r="13" spans="1:16">
      <c r="A13" s="1496" t="s">
        <v>1607</v>
      </c>
      <c r="B13" s="1501" t="s">
        <v>1562</v>
      </c>
      <c r="C13" s="1500">
        <v>43626</v>
      </c>
      <c r="D13" s="1500">
        <v>43626</v>
      </c>
      <c r="E13" s="1496" t="s">
        <v>159</v>
      </c>
      <c r="F13" s="1496" t="s">
        <v>719</v>
      </c>
      <c r="G13" s="1502" t="s">
        <v>918</v>
      </c>
      <c r="H13" s="1498">
        <v>74</v>
      </c>
      <c r="I13" s="1503">
        <v>74</v>
      </c>
      <c r="J13" s="1498"/>
      <c r="K13" s="1496" t="s">
        <v>917</v>
      </c>
      <c r="L13" s="1499">
        <v>6</v>
      </c>
      <c r="M13" s="1499">
        <v>24</v>
      </c>
      <c r="N13" s="1497">
        <v>43636</v>
      </c>
    </row>
    <row r="14" spans="1:16">
      <c r="A14" s="1556" t="s">
        <v>1631</v>
      </c>
      <c r="B14" s="1561" t="s">
        <v>1560</v>
      </c>
      <c r="C14" s="1560">
        <v>43682</v>
      </c>
      <c r="D14" s="1560">
        <v>43682</v>
      </c>
      <c r="E14" s="1567" t="s">
        <v>177</v>
      </c>
      <c r="F14" s="1556" t="s">
        <v>719</v>
      </c>
      <c r="G14" s="1562" t="s">
        <v>916</v>
      </c>
      <c r="H14" s="1558">
        <v>802</v>
      </c>
      <c r="I14" s="1563">
        <v>802</v>
      </c>
      <c r="J14" s="1556"/>
      <c r="K14" s="1568" t="s">
        <v>917</v>
      </c>
      <c r="L14" s="1559">
        <v>26</v>
      </c>
      <c r="M14" s="1559">
        <v>104</v>
      </c>
      <c r="N14" s="1557">
        <v>43698</v>
      </c>
    </row>
    <row r="15" spans="1:16">
      <c r="A15" s="1556" t="s">
        <v>1631</v>
      </c>
      <c r="B15" s="1561" t="s">
        <v>1560</v>
      </c>
      <c r="C15" s="1560">
        <v>43682</v>
      </c>
      <c r="D15" s="1560">
        <v>43682</v>
      </c>
      <c r="E15" s="1556" t="s">
        <v>159</v>
      </c>
      <c r="F15" s="1556" t="s">
        <v>719</v>
      </c>
      <c r="G15" s="1562" t="s">
        <v>918</v>
      </c>
      <c r="H15" s="1558">
        <v>172</v>
      </c>
      <c r="I15" s="1563">
        <v>172</v>
      </c>
      <c r="J15" s="1558"/>
      <c r="K15" s="1556" t="s">
        <v>917</v>
      </c>
      <c r="L15" s="1559">
        <v>6</v>
      </c>
      <c r="M15" s="1559">
        <v>24</v>
      </c>
      <c r="N15" s="1557">
        <v>43698</v>
      </c>
    </row>
    <row r="16" spans="1:16">
      <c r="A16" s="1556" t="s">
        <v>1632</v>
      </c>
      <c r="B16" s="1561" t="s">
        <v>1562</v>
      </c>
      <c r="C16" s="1560">
        <v>43682</v>
      </c>
      <c r="D16" s="1560">
        <v>43682</v>
      </c>
      <c r="E16" s="1567" t="s">
        <v>177</v>
      </c>
      <c r="F16" s="1556" t="s">
        <v>719</v>
      </c>
      <c r="G16" s="1562" t="s">
        <v>916</v>
      </c>
      <c r="H16" s="1558">
        <v>701</v>
      </c>
      <c r="I16" s="1563">
        <v>701</v>
      </c>
      <c r="J16" s="1556"/>
      <c r="K16" s="1568" t="s">
        <v>917</v>
      </c>
      <c r="L16" s="1559">
        <v>26</v>
      </c>
      <c r="M16" s="1559">
        <v>104</v>
      </c>
      <c r="N16" s="1557">
        <v>43698</v>
      </c>
    </row>
    <row r="17" spans="1:14">
      <c r="A17" s="1556" t="s">
        <v>1632</v>
      </c>
      <c r="B17" s="1561" t="s">
        <v>1562</v>
      </c>
      <c r="C17" s="1560">
        <v>43682</v>
      </c>
      <c r="D17" s="1560">
        <v>43682</v>
      </c>
      <c r="E17" s="1556" t="s">
        <v>159</v>
      </c>
      <c r="F17" s="1556" t="s">
        <v>719</v>
      </c>
      <c r="G17" s="1562" t="s">
        <v>918</v>
      </c>
      <c r="H17" s="1558">
        <v>105</v>
      </c>
      <c r="I17" s="1563">
        <v>105</v>
      </c>
      <c r="J17" s="1558"/>
      <c r="K17" s="1556" t="s">
        <v>917</v>
      </c>
      <c r="L17" s="1559">
        <v>6</v>
      </c>
      <c r="M17" s="1559">
        <v>24</v>
      </c>
      <c r="N17" s="1557">
        <v>43698</v>
      </c>
    </row>
    <row r="18" spans="1:14">
      <c r="A18" s="1617" t="s">
        <v>1655</v>
      </c>
      <c r="B18" s="1622" t="s">
        <v>1560</v>
      </c>
      <c r="C18" s="1621">
        <v>43752</v>
      </c>
      <c r="D18" s="1621">
        <v>43752</v>
      </c>
      <c r="E18" s="1628" t="s">
        <v>177</v>
      </c>
      <c r="F18" s="1617" t="s">
        <v>719</v>
      </c>
      <c r="G18" s="1623" t="s">
        <v>916</v>
      </c>
      <c r="H18" s="1619">
        <v>1707</v>
      </c>
      <c r="I18" s="1624">
        <v>1707</v>
      </c>
      <c r="J18" s="1617"/>
      <c r="K18" s="1629" t="s">
        <v>917</v>
      </c>
      <c r="L18" s="1620">
        <v>26</v>
      </c>
      <c r="M18" s="1620">
        <v>104</v>
      </c>
      <c r="N18" s="1618">
        <v>43770</v>
      </c>
    </row>
    <row r="19" spans="1:14">
      <c r="A19" s="1617" t="s">
        <v>1655</v>
      </c>
      <c r="B19" s="1622" t="s">
        <v>1560</v>
      </c>
      <c r="C19" s="1621">
        <v>43752</v>
      </c>
      <c r="D19" s="1621">
        <v>43752</v>
      </c>
      <c r="E19" s="1617" t="s">
        <v>159</v>
      </c>
      <c r="F19" s="1617" t="s">
        <v>719</v>
      </c>
      <c r="G19" s="1623" t="s">
        <v>918</v>
      </c>
      <c r="H19" s="1619">
        <v>23</v>
      </c>
      <c r="I19" s="1624">
        <v>23</v>
      </c>
      <c r="J19" s="1619" t="s">
        <v>926</v>
      </c>
      <c r="K19" s="1617" t="s">
        <v>917</v>
      </c>
      <c r="L19" s="1620">
        <v>6</v>
      </c>
      <c r="M19" s="1620">
        <v>24</v>
      </c>
      <c r="N19" s="1618">
        <v>43770</v>
      </c>
    </row>
    <row r="20" spans="1:14">
      <c r="A20" s="1617" t="s">
        <v>1656</v>
      </c>
      <c r="B20" s="1622" t="s">
        <v>1562</v>
      </c>
      <c r="C20" s="1621">
        <v>43752</v>
      </c>
      <c r="D20" s="1621">
        <v>43752</v>
      </c>
      <c r="E20" s="1628" t="s">
        <v>177</v>
      </c>
      <c r="F20" s="1617" t="s">
        <v>719</v>
      </c>
      <c r="G20" s="1623" t="s">
        <v>916</v>
      </c>
      <c r="H20" s="1619">
        <v>1592</v>
      </c>
      <c r="I20" s="1624">
        <v>1592</v>
      </c>
      <c r="J20" s="1617"/>
      <c r="K20" s="1629" t="s">
        <v>917</v>
      </c>
      <c r="L20" s="1620">
        <v>26</v>
      </c>
      <c r="M20" s="1620">
        <v>104</v>
      </c>
      <c r="N20" s="1618">
        <v>43770</v>
      </c>
    </row>
    <row r="21" spans="1:14">
      <c r="A21" s="1617" t="s">
        <v>1656</v>
      </c>
      <c r="B21" s="1622" t="s">
        <v>1562</v>
      </c>
      <c r="C21" s="1621">
        <v>43752</v>
      </c>
      <c r="D21" s="1621">
        <v>43752</v>
      </c>
      <c r="E21" s="1617" t="s">
        <v>159</v>
      </c>
      <c r="F21" s="1617" t="s">
        <v>719</v>
      </c>
      <c r="G21" s="1623" t="s">
        <v>918</v>
      </c>
      <c r="H21" s="1619">
        <v>18</v>
      </c>
      <c r="I21" s="1624">
        <v>18</v>
      </c>
      <c r="J21" s="1619" t="s">
        <v>926</v>
      </c>
      <c r="K21" s="1617" t="s">
        <v>917</v>
      </c>
      <c r="L21" s="1620">
        <v>6</v>
      </c>
      <c r="M21" s="1620">
        <v>24</v>
      </c>
      <c r="N21" s="1618">
        <v>43770</v>
      </c>
    </row>
    <row r="22" spans="1:14">
      <c r="A22" s="1694" t="s">
        <v>1679</v>
      </c>
      <c r="B22" s="1699" t="s">
        <v>1680</v>
      </c>
      <c r="C22" s="1698">
        <v>43808</v>
      </c>
      <c r="D22" s="1698">
        <v>43808</v>
      </c>
      <c r="E22" s="1706" t="s">
        <v>177</v>
      </c>
      <c r="F22" s="1694" t="s">
        <v>719</v>
      </c>
      <c r="G22" s="1701" t="s">
        <v>916</v>
      </c>
      <c r="H22" s="1696">
        <v>498</v>
      </c>
      <c r="I22" s="1702">
        <v>498</v>
      </c>
      <c r="J22" s="1696"/>
      <c r="K22" s="1694" t="s">
        <v>917</v>
      </c>
      <c r="L22" s="1697">
        <v>26</v>
      </c>
      <c r="M22" s="1697">
        <v>104</v>
      </c>
      <c r="N22" s="1698">
        <v>43819</v>
      </c>
    </row>
    <row r="23" spans="1:14">
      <c r="A23" s="1694" t="s">
        <v>1679</v>
      </c>
      <c r="B23" s="1699" t="s">
        <v>1680</v>
      </c>
      <c r="C23" s="1698">
        <v>43808</v>
      </c>
      <c r="D23" s="1698">
        <v>43808</v>
      </c>
      <c r="E23" s="1694" t="s">
        <v>159</v>
      </c>
      <c r="F23" s="1694" t="s">
        <v>719</v>
      </c>
      <c r="G23" s="1701" t="s">
        <v>918</v>
      </c>
      <c r="H23" s="1696">
        <v>34</v>
      </c>
      <c r="I23" s="1702">
        <v>34</v>
      </c>
      <c r="J23" s="1696"/>
      <c r="K23" s="1694" t="s">
        <v>917</v>
      </c>
      <c r="L23" s="1697">
        <v>6</v>
      </c>
      <c r="M23" s="1697">
        <v>24</v>
      </c>
      <c r="N23" s="1698">
        <v>43819</v>
      </c>
    </row>
    <row r="24" spans="1:14">
      <c r="A24" s="1694" t="s">
        <v>1681</v>
      </c>
      <c r="B24" s="1699" t="s">
        <v>1682</v>
      </c>
      <c r="C24" s="1698">
        <v>43808</v>
      </c>
      <c r="D24" s="1698">
        <v>43808</v>
      </c>
      <c r="E24" s="1706" t="s">
        <v>177</v>
      </c>
      <c r="F24" s="1694" t="s">
        <v>719</v>
      </c>
      <c r="G24" s="1701" t="s">
        <v>916</v>
      </c>
      <c r="H24" s="1696">
        <v>734</v>
      </c>
      <c r="I24" s="1702">
        <v>734</v>
      </c>
      <c r="J24" s="1696"/>
      <c r="K24" s="1694" t="s">
        <v>917</v>
      </c>
      <c r="L24" s="1697">
        <v>26</v>
      </c>
      <c r="M24" s="1697">
        <v>104</v>
      </c>
      <c r="N24" s="1698">
        <v>43819</v>
      </c>
    </row>
    <row r="25" spans="1:14">
      <c r="A25" s="1694" t="s">
        <v>1681</v>
      </c>
      <c r="B25" s="1699" t="s">
        <v>1682</v>
      </c>
      <c r="C25" s="1698">
        <v>43808</v>
      </c>
      <c r="D25" s="1698">
        <v>43808</v>
      </c>
      <c r="E25" s="1694" t="s">
        <v>159</v>
      </c>
      <c r="F25" s="1694" t="s">
        <v>719</v>
      </c>
      <c r="G25" s="1701" t="s">
        <v>918</v>
      </c>
      <c r="H25" s="1696">
        <v>97</v>
      </c>
      <c r="I25" s="1702">
        <v>97</v>
      </c>
      <c r="J25" s="1696"/>
      <c r="K25" s="1694" t="s">
        <v>917</v>
      </c>
      <c r="L25" s="1697">
        <v>6</v>
      </c>
      <c r="M25" s="1697">
        <v>24</v>
      </c>
      <c r="N25" s="1698">
        <v>43819</v>
      </c>
    </row>
    <row r="26" spans="1:14">
      <c r="A26" s="505"/>
      <c r="B26" s="507"/>
      <c r="C26" s="506"/>
      <c r="D26" s="506"/>
      <c r="E26" s="505"/>
      <c r="F26" s="505"/>
      <c r="G26" s="507"/>
      <c r="H26" s="505"/>
      <c r="I26" s="507"/>
      <c r="J26" s="505"/>
      <c r="K26" s="505"/>
      <c r="L26" s="1049"/>
      <c r="M26" s="1049"/>
      <c r="N26" s="566"/>
    </row>
    <row r="27" spans="1:14">
      <c r="A27" s="1027"/>
      <c r="B27" s="1026"/>
      <c r="C27" s="1023"/>
      <c r="D27" s="45">
        <v>43507</v>
      </c>
      <c r="E27" s="45">
        <v>43563</v>
      </c>
      <c r="F27" s="45">
        <v>43626</v>
      </c>
      <c r="G27" s="45">
        <v>43682</v>
      </c>
      <c r="H27" s="45">
        <v>43752</v>
      </c>
      <c r="I27" s="45">
        <v>43808</v>
      </c>
      <c r="J27" s="45"/>
    </row>
    <row r="28" spans="1:14">
      <c r="A28" s="1027"/>
      <c r="B28" s="1027" t="s">
        <v>933</v>
      </c>
      <c r="C28" s="1027" t="s">
        <v>177</v>
      </c>
      <c r="D28" s="227">
        <v>2562</v>
      </c>
      <c r="E28" s="1696">
        <v>1052</v>
      </c>
      <c r="F28" s="1696">
        <v>957</v>
      </c>
      <c r="G28" s="1696">
        <v>802</v>
      </c>
      <c r="H28" s="1696">
        <v>1707</v>
      </c>
      <c r="I28" s="1696">
        <v>498</v>
      </c>
      <c r="J28" s="505"/>
    </row>
    <row r="29" spans="1:14">
      <c r="A29" s="1027"/>
      <c r="B29" s="1027" t="s">
        <v>933</v>
      </c>
      <c r="C29" s="1023" t="s">
        <v>159</v>
      </c>
      <c r="D29" s="227">
        <v>24</v>
      </c>
      <c r="E29" s="1696">
        <v>28</v>
      </c>
      <c r="F29" s="1696">
        <v>77</v>
      </c>
      <c r="G29" s="1696">
        <v>172</v>
      </c>
      <c r="H29" s="1696">
        <v>23</v>
      </c>
      <c r="I29" s="1696">
        <v>34</v>
      </c>
      <c r="J29" s="505"/>
    </row>
    <row r="30" spans="1:14">
      <c r="A30" s="1027"/>
      <c r="B30" s="1027" t="s">
        <v>934</v>
      </c>
      <c r="C30" s="1027" t="s">
        <v>177</v>
      </c>
      <c r="D30" s="227">
        <v>2424</v>
      </c>
      <c r="E30" s="1696">
        <v>860</v>
      </c>
      <c r="F30" s="1696">
        <v>885</v>
      </c>
      <c r="G30" s="1696">
        <v>701</v>
      </c>
      <c r="H30" s="1696">
        <v>1592</v>
      </c>
      <c r="I30" s="1696">
        <v>734</v>
      </c>
      <c r="J30" s="505"/>
    </row>
    <row r="31" spans="1:14">
      <c r="B31" s="1027" t="s">
        <v>934</v>
      </c>
      <c r="C31" s="1023" t="s">
        <v>159</v>
      </c>
      <c r="D31" s="227">
        <v>23</v>
      </c>
      <c r="E31" s="1696">
        <v>27</v>
      </c>
      <c r="F31" s="1696">
        <v>74</v>
      </c>
      <c r="G31" s="1696">
        <v>105</v>
      </c>
      <c r="H31" s="1696">
        <v>18</v>
      </c>
      <c r="I31" s="1696">
        <v>97</v>
      </c>
      <c r="J31" s="505"/>
    </row>
  </sheetData>
  <pageMargins left="0.7" right="0.7" top="0.75" bottom="0.75" header="0.3" footer="0.3"/>
  <pageSetup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59999389629810485"/>
  </sheetPr>
  <dimension ref="A2:T75"/>
  <sheetViews>
    <sheetView topLeftCell="A7" workbookViewId="0">
      <selection activeCell="J61" sqref="J61"/>
    </sheetView>
  </sheetViews>
  <sheetFormatPr defaultRowHeight="14"/>
  <cols>
    <col min="1" max="1" width="10.453125" bestFit="1" customWidth="1"/>
    <col min="2" max="2" width="7.1796875" bestFit="1" customWidth="1"/>
    <col min="3" max="3" width="12.08984375" bestFit="1" customWidth="1"/>
    <col min="4" max="4" width="10.26953125" bestFit="1" customWidth="1"/>
    <col min="5" max="5" width="10.1796875" bestFit="1" customWidth="1"/>
    <col min="6" max="6" width="10.36328125" bestFit="1" customWidth="1"/>
    <col min="7" max="7" width="10.1796875" bestFit="1" customWidth="1"/>
    <col min="8" max="8" width="9.26953125" customWidth="1"/>
    <col min="9" max="9" width="8.453125" bestFit="1" customWidth="1"/>
    <col min="10" max="10" width="10.7265625" bestFit="1" customWidth="1"/>
    <col min="11" max="11" width="8.6328125" bestFit="1" customWidth="1"/>
    <col min="12" max="12" width="11.7265625" customWidth="1"/>
    <col min="13" max="13" width="9.36328125" bestFit="1" customWidth="1"/>
    <col min="14" max="14" width="6" bestFit="1" customWidth="1"/>
  </cols>
  <sheetData>
    <row r="2" spans="1:20" ht="28" customHeight="1">
      <c r="A2" s="197" t="s">
        <v>232</v>
      </c>
      <c r="B2" s="198" t="s">
        <v>9</v>
      </c>
      <c r="C2" s="1242" t="s">
        <v>231</v>
      </c>
      <c r="D2" s="1286" t="s">
        <v>132</v>
      </c>
      <c r="E2" s="1287" t="s">
        <v>134</v>
      </c>
      <c r="F2" s="1288" t="s">
        <v>138</v>
      </c>
      <c r="G2" s="1289" t="s">
        <v>935</v>
      </c>
      <c r="H2" s="75" t="s">
        <v>936</v>
      </c>
      <c r="I2" s="1288" t="s">
        <v>230</v>
      </c>
      <c r="J2" s="1290" t="s">
        <v>851</v>
      </c>
      <c r="K2" s="1288" t="s">
        <v>246</v>
      </c>
      <c r="L2" s="1291" t="s">
        <v>1381</v>
      </c>
      <c r="M2" s="75" t="s">
        <v>1382</v>
      </c>
      <c r="N2" s="1291" t="s">
        <v>317</v>
      </c>
      <c r="P2" s="464" t="s">
        <v>150</v>
      </c>
      <c r="Q2" s="464" t="s">
        <v>151</v>
      </c>
      <c r="R2" s="464" t="s">
        <v>152</v>
      </c>
      <c r="S2" s="464" t="s">
        <v>153</v>
      </c>
      <c r="T2" s="464" t="s">
        <v>303</v>
      </c>
    </row>
    <row r="3" spans="1:20">
      <c r="A3" s="2336" t="s">
        <v>491</v>
      </c>
      <c r="B3" s="2332" t="s">
        <v>328</v>
      </c>
      <c r="C3" s="2350" t="s">
        <v>531</v>
      </c>
      <c r="D3" s="351">
        <v>43507</v>
      </c>
      <c r="E3" s="1243">
        <v>0.50347222222222221</v>
      </c>
      <c r="F3" s="199">
        <v>7.81</v>
      </c>
      <c r="G3" s="200">
        <v>0.1</v>
      </c>
      <c r="H3" s="245">
        <v>8.3000000000000007</v>
      </c>
      <c r="I3" s="199">
        <v>10.16</v>
      </c>
      <c r="J3" s="437">
        <v>2360</v>
      </c>
      <c r="K3" s="199">
        <v>0.72699999999999998</v>
      </c>
      <c r="L3" s="593">
        <v>0.08</v>
      </c>
      <c r="M3" s="1246">
        <v>1.5</v>
      </c>
      <c r="N3" s="439" t="s">
        <v>849</v>
      </c>
      <c r="P3" s="120">
        <v>2</v>
      </c>
      <c r="Q3" s="119">
        <v>0.34</v>
      </c>
      <c r="R3" s="119">
        <v>0.24</v>
      </c>
      <c r="S3" s="119">
        <f>Q3*2.5</f>
        <v>0.85000000000000009</v>
      </c>
      <c r="T3" s="7">
        <f>R3*S3</f>
        <v>0.20400000000000001</v>
      </c>
    </row>
    <row r="4" spans="1:20">
      <c r="A4" s="2337"/>
      <c r="B4" s="2332"/>
      <c r="C4" s="2350"/>
      <c r="D4" s="351">
        <v>43563</v>
      </c>
      <c r="E4" s="1247">
        <v>0.4548611111111111</v>
      </c>
      <c r="F4" s="1248">
        <v>8.25</v>
      </c>
      <c r="G4" s="1248">
        <v>9.1999999999999993</v>
      </c>
      <c r="H4" s="245">
        <v>22.6</v>
      </c>
      <c r="I4" s="1248">
        <v>11.74</v>
      </c>
      <c r="J4" s="1249">
        <v>1439</v>
      </c>
      <c r="K4" s="1248">
        <v>0.44800000000000001</v>
      </c>
      <c r="L4" s="1264">
        <v>0.1</v>
      </c>
      <c r="M4" s="1250">
        <v>2</v>
      </c>
      <c r="N4" s="1251" t="s">
        <v>849</v>
      </c>
      <c r="P4" s="121">
        <v>4</v>
      </c>
      <c r="Q4" s="5">
        <v>0.59</v>
      </c>
      <c r="R4" s="5">
        <v>0.17</v>
      </c>
      <c r="S4" s="119">
        <f>Q4*2.5</f>
        <v>1.4749999999999999</v>
      </c>
      <c r="T4" s="119">
        <f>R4*S4</f>
        <v>0.25074999999999997</v>
      </c>
    </row>
    <row r="5" spans="1:20">
      <c r="A5" s="2337"/>
      <c r="B5" s="2332"/>
      <c r="C5" s="2350"/>
      <c r="D5" s="351">
        <v>43626</v>
      </c>
      <c r="E5" s="1243">
        <v>0.50694444444444442</v>
      </c>
      <c r="F5" s="199">
        <v>7.8</v>
      </c>
      <c r="G5" s="199">
        <v>15.1</v>
      </c>
      <c r="H5" s="245">
        <v>35.200000000000003</v>
      </c>
      <c r="I5" s="199">
        <v>9.6</v>
      </c>
      <c r="J5" s="1252">
        <v>1256</v>
      </c>
      <c r="K5" s="199">
        <v>0.624</v>
      </c>
      <c r="L5" s="593">
        <v>0.4</v>
      </c>
      <c r="M5" s="588">
        <v>4</v>
      </c>
      <c r="N5" s="439" t="s">
        <v>849</v>
      </c>
      <c r="P5" s="120">
        <v>6</v>
      </c>
      <c r="Q5" s="5"/>
      <c r="R5" s="5"/>
      <c r="S5" s="119">
        <f>Q5*2</f>
        <v>0</v>
      </c>
      <c r="T5" s="119">
        <f>R5*S5</f>
        <v>0</v>
      </c>
    </row>
    <row r="6" spans="1:20">
      <c r="A6" s="2337"/>
      <c r="B6" s="2332"/>
      <c r="C6" s="2350"/>
      <c r="D6" s="351">
        <v>43682</v>
      </c>
      <c r="E6" s="1243">
        <v>0.46180555555555558</v>
      </c>
      <c r="F6" s="199">
        <v>7.49</v>
      </c>
      <c r="G6" s="199">
        <v>18.5</v>
      </c>
      <c r="H6" s="245">
        <v>35.200000000000003</v>
      </c>
      <c r="I6" s="199">
        <v>7.85</v>
      </c>
      <c r="J6" s="1252">
        <v>1109</v>
      </c>
      <c r="K6" s="199">
        <v>0.54</v>
      </c>
      <c r="L6" s="593">
        <v>0.2</v>
      </c>
      <c r="M6" s="588">
        <v>3</v>
      </c>
      <c r="N6" s="439" t="s">
        <v>849</v>
      </c>
      <c r="T6" s="3">
        <f>SUM(T3:T5)</f>
        <v>0.45474999999999999</v>
      </c>
    </row>
    <row r="7" spans="1:20">
      <c r="A7" s="2337"/>
      <c r="B7" s="2332"/>
      <c r="C7" s="2350"/>
      <c r="D7" s="351">
        <v>43752</v>
      </c>
      <c r="E7" s="1243">
        <v>0.51041666666666663</v>
      </c>
      <c r="F7" s="199">
        <v>7.6</v>
      </c>
      <c r="G7" s="199">
        <v>7.6</v>
      </c>
      <c r="H7" s="245">
        <v>27.6</v>
      </c>
      <c r="I7" s="199">
        <v>12.29</v>
      </c>
      <c r="J7" s="1252">
        <v>1401</v>
      </c>
      <c r="K7" s="199">
        <v>0.21</v>
      </c>
      <c r="L7" s="593">
        <v>0.2</v>
      </c>
      <c r="M7" s="588">
        <v>3</v>
      </c>
      <c r="N7" s="439" t="s">
        <v>849</v>
      </c>
      <c r="T7" s="3"/>
    </row>
    <row r="8" spans="1:20">
      <c r="A8" s="2337"/>
      <c r="B8" s="2332"/>
      <c r="C8" s="2350"/>
      <c r="D8" s="351">
        <v>43808</v>
      </c>
      <c r="E8" s="1243">
        <v>0.4513888888888889</v>
      </c>
      <c r="F8" s="199">
        <v>7.61</v>
      </c>
      <c r="G8" s="199">
        <v>3.4</v>
      </c>
      <c r="H8" s="245">
        <v>8.1999999999999993</v>
      </c>
      <c r="I8" s="199">
        <v>12.95</v>
      </c>
      <c r="J8" s="1252">
        <v>1250</v>
      </c>
      <c r="K8" s="199">
        <v>0.18</v>
      </c>
      <c r="L8" s="593">
        <v>0.08</v>
      </c>
      <c r="M8" s="588">
        <v>2</v>
      </c>
      <c r="N8" s="439" t="s">
        <v>849</v>
      </c>
      <c r="T8" s="3"/>
    </row>
    <row r="9" spans="1:20">
      <c r="A9" s="2337"/>
      <c r="B9" s="2332" t="s">
        <v>330</v>
      </c>
      <c r="C9" s="2334" t="s">
        <v>532</v>
      </c>
      <c r="D9" s="1780">
        <v>43507</v>
      </c>
      <c r="E9" s="1781">
        <v>0.51041666666666663</v>
      </c>
      <c r="F9" s="1782">
        <v>7.95</v>
      </c>
      <c r="G9" s="1782">
        <v>0.1</v>
      </c>
      <c r="H9" s="1255">
        <v>8.5</v>
      </c>
      <c r="I9" s="1782">
        <v>13.54</v>
      </c>
      <c r="J9" s="1783">
        <v>2360</v>
      </c>
      <c r="K9" s="1254">
        <v>0.36</v>
      </c>
      <c r="L9" s="1265">
        <v>0.4</v>
      </c>
      <c r="M9" s="1257">
        <v>3</v>
      </c>
      <c r="N9" s="208" t="s">
        <v>849</v>
      </c>
    </row>
    <row r="10" spans="1:20">
      <c r="A10" s="2337"/>
      <c r="B10" s="2332"/>
      <c r="C10" s="2334"/>
      <c r="D10" s="1780">
        <v>43563</v>
      </c>
      <c r="E10" s="1244">
        <v>0.4604166666666667</v>
      </c>
      <c r="F10" s="247">
        <v>8.23</v>
      </c>
      <c r="G10" s="247">
        <v>10.4</v>
      </c>
      <c r="H10" s="1255">
        <v>22.8</v>
      </c>
      <c r="I10" s="247">
        <v>11.7</v>
      </c>
      <c r="J10" s="438">
        <v>1427</v>
      </c>
      <c r="K10" s="247">
        <v>0.41</v>
      </c>
      <c r="L10" s="1245">
        <v>0.9</v>
      </c>
      <c r="M10" s="1257">
        <v>5</v>
      </c>
      <c r="N10" s="208" t="s">
        <v>849</v>
      </c>
    </row>
    <row r="11" spans="1:20">
      <c r="A11" s="2337"/>
      <c r="B11" s="2332"/>
      <c r="C11" s="2334"/>
      <c r="D11" s="1780">
        <v>43626</v>
      </c>
      <c r="E11" s="1253">
        <v>0.51388888888888895</v>
      </c>
      <c r="F11" s="1254">
        <v>8.07</v>
      </c>
      <c r="G11" s="1254">
        <v>15.3</v>
      </c>
      <c r="H11" s="1255">
        <v>35.299999999999997</v>
      </c>
      <c r="I11" s="1254">
        <v>10.34</v>
      </c>
      <c r="J11" s="1256">
        <v>1196</v>
      </c>
      <c r="K11" s="1254">
        <v>0.27</v>
      </c>
      <c r="L11" s="1265">
        <v>0.6</v>
      </c>
      <c r="M11" s="1257">
        <v>5</v>
      </c>
      <c r="N11" s="208" t="s">
        <v>849</v>
      </c>
    </row>
    <row r="12" spans="1:20">
      <c r="A12" s="2337"/>
      <c r="B12" s="2332"/>
      <c r="C12" s="2334"/>
      <c r="D12" s="1780">
        <v>43682</v>
      </c>
      <c r="E12" s="1253">
        <v>0.46875</v>
      </c>
      <c r="F12" s="1254">
        <v>7.56</v>
      </c>
      <c r="G12" s="1254">
        <v>19.399999999999999</v>
      </c>
      <c r="H12" s="1255">
        <v>34.9</v>
      </c>
      <c r="I12" s="1254">
        <v>8.1999999999999993</v>
      </c>
      <c r="J12" s="1256">
        <v>1101</v>
      </c>
      <c r="K12" s="1254">
        <v>0.52</v>
      </c>
      <c r="L12" s="1265">
        <v>0.75</v>
      </c>
      <c r="M12" s="1257">
        <v>5</v>
      </c>
      <c r="N12" s="208" t="s">
        <v>849</v>
      </c>
    </row>
    <row r="13" spans="1:20">
      <c r="A13" s="2337"/>
      <c r="B13" s="2332"/>
      <c r="C13" s="2334"/>
      <c r="D13" s="1780">
        <v>43752</v>
      </c>
      <c r="E13" s="1253">
        <v>0.51874999999999993</v>
      </c>
      <c r="F13" s="1254">
        <v>7.66</v>
      </c>
      <c r="G13" s="1254">
        <v>7.8</v>
      </c>
      <c r="H13" s="1255">
        <v>27.3</v>
      </c>
      <c r="I13" s="1254">
        <v>12.75</v>
      </c>
      <c r="J13" s="1256">
        <v>1396</v>
      </c>
      <c r="K13" s="1254">
        <v>0.25</v>
      </c>
      <c r="L13" s="1265">
        <v>1</v>
      </c>
      <c r="M13" s="1257">
        <v>5</v>
      </c>
      <c r="N13" s="208" t="s">
        <v>849</v>
      </c>
    </row>
    <row r="14" spans="1:20">
      <c r="A14" s="2337"/>
      <c r="B14" s="2332"/>
      <c r="C14" s="2335"/>
      <c r="D14" s="1068">
        <v>43808</v>
      </c>
      <c r="E14" s="1258">
        <v>0.45833333333333331</v>
      </c>
      <c r="F14" s="1259">
        <v>7.65</v>
      </c>
      <c r="G14" s="1259">
        <v>3.4</v>
      </c>
      <c r="H14" s="1260">
        <v>8</v>
      </c>
      <c r="I14" s="1259">
        <v>12.98</v>
      </c>
      <c r="J14" s="1261">
        <v>1259</v>
      </c>
      <c r="K14" s="1259">
        <v>0.15</v>
      </c>
      <c r="L14" s="1266">
        <v>0.3</v>
      </c>
      <c r="M14" s="1262">
        <v>5</v>
      </c>
      <c r="N14" s="1263" t="s">
        <v>849</v>
      </c>
    </row>
    <row r="15" spans="1:20">
      <c r="A15" s="201"/>
      <c r="B15" s="202"/>
      <c r="C15" s="203"/>
      <c r="D15" s="204"/>
    </row>
    <row r="16" spans="1:20" ht="25">
      <c r="A16" s="207" t="s">
        <v>232</v>
      </c>
      <c r="B16" s="207" t="s">
        <v>9</v>
      </c>
      <c r="C16" s="208" t="s">
        <v>231</v>
      </c>
      <c r="D16" s="207" t="s">
        <v>132</v>
      </c>
      <c r="E16" s="209" t="s">
        <v>177</v>
      </c>
      <c r="F16" s="209" t="s">
        <v>63</v>
      </c>
      <c r="G16" s="206"/>
      <c r="J16" s="206"/>
      <c r="K16" s="206"/>
      <c r="L16" s="206"/>
      <c r="M16" s="206"/>
    </row>
    <row r="17" spans="1:13">
      <c r="A17" s="2333" t="s">
        <v>491</v>
      </c>
      <c r="B17" s="2332" t="s">
        <v>328</v>
      </c>
      <c r="C17" s="2331" t="s">
        <v>531</v>
      </c>
      <c r="D17" s="45">
        <v>43507</v>
      </c>
      <c r="E17" s="244">
        <v>2562</v>
      </c>
      <c r="F17" s="1047">
        <v>24</v>
      </c>
      <c r="G17" s="535"/>
      <c r="H17" s="106"/>
      <c r="I17" s="242"/>
      <c r="K17" s="505"/>
      <c r="L17" s="505"/>
    </row>
    <row r="18" spans="1:13">
      <c r="A18" s="2333"/>
      <c r="B18" s="2332"/>
      <c r="C18" s="2331"/>
      <c r="D18" s="45">
        <v>43563</v>
      </c>
      <c r="E18" s="1717">
        <v>1052</v>
      </c>
      <c r="F18" s="1047">
        <v>28</v>
      </c>
      <c r="G18" s="535"/>
      <c r="H18" s="106"/>
      <c r="K18" s="505"/>
      <c r="L18" s="505"/>
      <c r="M18" s="192"/>
    </row>
    <row r="19" spans="1:13">
      <c r="A19" s="2333"/>
      <c r="B19" s="2332"/>
      <c r="C19" s="2331"/>
      <c r="D19" s="45">
        <v>43626</v>
      </c>
      <c r="E19" s="1717">
        <v>957</v>
      </c>
      <c r="F19" s="1047">
        <v>77</v>
      </c>
      <c r="G19" s="535"/>
      <c r="H19" s="106"/>
      <c r="K19" s="505"/>
      <c r="L19" s="505"/>
      <c r="M19" s="192"/>
    </row>
    <row r="20" spans="1:13">
      <c r="A20" s="2333"/>
      <c r="B20" s="2332"/>
      <c r="C20" s="2331"/>
      <c r="D20" s="45">
        <v>43682</v>
      </c>
      <c r="E20" s="1717">
        <v>802</v>
      </c>
      <c r="F20" s="1047">
        <v>172</v>
      </c>
      <c r="G20" s="535"/>
      <c r="H20" s="106"/>
      <c r="K20" s="505"/>
      <c r="L20" s="505"/>
      <c r="M20" s="192"/>
    </row>
    <row r="21" spans="1:13">
      <c r="A21" s="2333"/>
      <c r="B21" s="2332"/>
      <c r="C21" s="2331"/>
      <c r="D21" s="45">
        <v>43752</v>
      </c>
      <c r="E21" s="1717">
        <v>1707</v>
      </c>
      <c r="F21" s="444">
        <v>23</v>
      </c>
      <c r="G21" s="470"/>
      <c r="H21" s="106"/>
      <c r="K21" s="505"/>
      <c r="L21" s="505"/>
      <c r="M21" s="192"/>
    </row>
    <row r="22" spans="1:13">
      <c r="A22" s="2333"/>
      <c r="B22" s="2332"/>
      <c r="C22" s="2331"/>
      <c r="D22" s="45">
        <v>43808</v>
      </c>
      <c r="E22" s="1717">
        <v>498</v>
      </c>
      <c r="F22" s="444">
        <v>34</v>
      </c>
      <c r="G22" s="470"/>
      <c r="H22" s="106"/>
      <c r="K22" s="505"/>
      <c r="L22" s="505"/>
      <c r="M22" s="192"/>
    </row>
    <row r="23" spans="1:13">
      <c r="A23" s="2333"/>
      <c r="B23" s="2332" t="s">
        <v>330</v>
      </c>
      <c r="C23" s="2331" t="s">
        <v>532</v>
      </c>
      <c r="D23" s="45">
        <v>43507</v>
      </c>
      <c r="E23" s="244">
        <v>2424</v>
      </c>
      <c r="F23" s="358">
        <v>23</v>
      </c>
      <c r="G23" s="535"/>
      <c r="I23" s="242"/>
      <c r="K23" s="505"/>
      <c r="L23" s="505"/>
      <c r="M23" s="192"/>
    </row>
    <row r="24" spans="1:13">
      <c r="A24" s="2333"/>
      <c r="B24" s="2332"/>
      <c r="C24" s="2331"/>
      <c r="D24" s="45">
        <v>43563</v>
      </c>
      <c r="E24" s="244">
        <v>860</v>
      </c>
      <c r="F24" s="358">
        <v>27</v>
      </c>
      <c r="G24" s="535"/>
      <c r="H24" s="535"/>
      <c r="I24" s="205"/>
      <c r="K24" s="505"/>
      <c r="L24" s="505"/>
      <c r="M24" s="192"/>
    </row>
    <row r="25" spans="1:13">
      <c r="A25" s="2333"/>
      <c r="B25" s="2332"/>
      <c r="C25" s="2331"/>
      <c r="D25" s="45">
        <v>43626</v>
      </c>
      <c r="E25" s="244">
        <v>885</v>
      </c>
      <c r="F25" s="358">
        <v>74</v>
      </c>
      <c r="G25" s="535"/>
      <c r="H25" s="535"/>
      <c r="K25" s="505"/>
      <c r="L25" s="505"/>
    </row>
    <row r="26" spans="1:13">
      <c r="A26" s="2333"/>
      <c r="B26" s="2332"/>
      <c r="C26" s="2331"/>
      <c r="D26" s="45">
        <v>43682</v>
      </c>
      <c r="E26" s="244">
        <v>701</v>
      </c>
      <c r="F26" s="358">
        <v>105</v>
      </c>
      <c r="G26" s="535"/>
      <c r="H26" s="535"/>
      <c r="K26" s="505"/>
      <c r="L26" s="505"/>
    </row>
    <row r="27" spans="1:13">
      <c r="A27" s="2333"/>
      <c r="B27" s="2332"/>
      <c r="C27" s="2331"/>
      <c r="D27" s="45">
        <v>43752</v>
      </c>
      <c r="E27" s="1048">
        <v>1592</v>
      </c>
      <c r="F27" s="358">
        <v>18</v>
      </c>
      <c r="G27" s="536"/>
      <c r="H27" s="536"/>
      <c r="K27" s="505"/>
      <c r="L27" s="505"/>
    </row>
    <row r="28" spans="1:13">
      <c r="A28" s="2333"/>
      <c r="B28" s="2332"/>
      <c r="C28" s="2331"/>
      <c r="D28" s="45">
        <v>43808</v>
      </c>
      <c r="E28" s="244">
        <v>734</v>
      </c>
      <c r="F28" s="358">
        <v>97</v>
      </c>
      <c r="G28" s="535"/>
      <c r="H28" s="535"/>
      <c r="K28" s="505"/>
      <c r="L28" s="505"/>
    </row>
    <row r="29" spans="1:13">
      <c r="A29" s="56"/>
      <c r="B29" s="92"/>
      <c r="C29" s="92"/>
      <c r="D29" s="157"/>
      <c r="E29" s="157"/>
      <c r="F29" s="157"/>
      <c r="G29" s="157"/>
      <c r="K29" s="505"/>
      <c r="L29" s="505"/>
    </row>
    <row r="30" spans="1:13">
      <c r="A30" s="56"/>
      <c r="B30" s="92"/>
      <c r="C30" s="92"/>
      <c r="D30" s="156">
        <v>60</v>
      </c>
      <c r="E30" s="156">
        <v>61</v>
      </c>
      <c r="F30" s="156">
        <v>61</v>
      </c>
      <c r="G30" s="156">
        <v>62</v>
      </c>
      <c r="H30" s="156">
        <v>61</v>
      </c>
      <c r="I30" s="156">
        <v>61</v>
      </c>
      <c r="K30" s="505"/>
      <c r="L30" s="505"/>
    </row>
    <row r="31" spans="1:13">
      <c r="A31" s="56"/>
      <c r="B31" s="92"/>
      <c r="C31" s="92"/>
      <c r="D31" s="159" t="s">
        <v>538</v>
      </c>
      <c r="E31" s="159" t="s">
        <v>533</v>
      </c>
      <c r="F31" s="160" t="s">
        <v>534</v>
      </c>
      <c r="G31" s="159" t="s">
        <v>535</v>
      </c>
      <c r="H31" s="159" t="s">
        <v>536</v>
      </c>
      <c r="I31" s="159" t="s">
        <v>537</v>
      </c>
      <c r="K31" s="505"/>
      <c r="L31" s="505"/>
    </row>
    <row r="32" spans="1:13">
      <c r="A32" s="56"/>
      <c r="B32" s="92"/>
      <c r="C32" s="92"/>
      <c r="D32" s="2347" t="s">
        <v>155</v>
      </c>
      <c r="E32" s="2348"/>
      <c r="F32" s="2348"/>
      <c r="G32" s="2348"/>
      <c r="H32" s="2348"/>
      <c r="I32" s="2349"/>
      <c r="K32" s="505"/>
      <c r="L32" s="505"/>
    </row>
    <row r="33" spans="1:12">
      <c r="A33" s="56"/>
      <c r="B33" s="92"/>
      <c r="C33" s="92" t="s">
        <v>539</v>
      </c>
      <c r="D33" s="199">
        <f>K3</f>
        <v>0.72699999999999998</v>
      </c>
      <c r="E33" s="199">
        <f>K4</f>
        <v>0.44800000000000001</v>
      </c>
      <c r="F33" s="199">
        <f>K5</f>
        <v>0.624</v>
      </c>
      <c r="G33" s="199">
        <f>K6</f>
        <v>0.54</v>
      </c>
      <c r="H33" s="199">
        <f>K7</f>
        <v>0.21</v>
      </c>
      <c r="I33" s="199">
        <f>K8</f>
        <v>0.18</v>
      </c>
      <c r="K33" s="505"/>
      <c r="L33" s="505"/>
    </row>
    <row r="34" spans="1:12">
      <c r="A34" s="56"/>
      <c r="B34" s="92"/>
      <c r="C34" s="92" t="s">
        <v>540</v>
      </c>
      <c r="D34" s="199">
        <f>K9</f>
        <v>0.36</v>
      </c>
      <c r="E34" s="199">
        <f>K10</f>
        <v>0.41</v>
      </c>
      <c r="F34" s="199">
        <f>K11</f>
        <v>0.27</v>
      </c>
      <c r="G34" s="199">
        <f>K12</f>
        <v>0.52</v>
      </c>
      <c r="H34" s="199">
        <f>K13</f>
        <v>0.25</v>
      </c>
      <c r="I34" s="199">
        <f>K14</f>
        <v>0.15</v>
      </c>
      <c r="K34" s="505"/>
      <c r="L34" s="505"/>
    </row>
    <row r="35" spans="1:12">
      <c r="A35" s="56"/>
      <c r="B35" s="92"/>
      <c r="C35" s="92"/>
      <c r="D35" s="2340" t="s">
        <v>541</v>
      </c>
      <c r="E35" s="2341"/>
      <c r="F35" s="2341"/>
      <c r="G35" s="2341"/>
      <c r="H35" s="2341"/>
      <c r="I35" s="2342"/>
      <c r="K35" s="505"/>
      <c r="L35" s="505"/>
    </row>
    <row r="36" spans="1:12">
      <c r="A36" s="56"/>
      <c r="B36" s="92"/>
      <c r="C36" s="92" t="s">
        <v>539</v>
      </c>
      <c r="D36" s="210">
        <f t="shared" ref="D36:I37" si="0">D33*1.983</f>
        <v>1.441641</v>
      </c>
      <c r="E36" s="210">
        <f t="shared" si="0"/>
        <v>0.88838400000000006</v>
      </c>
      <c r="F36" s="210">
        <f t="shared" si="0"/>
        <v>1.237392</v>
      </c>
      <c r="G36" s="210">
        <f t="shared" si="0"/>
        <v>1.0708200000000001</v>
      </c>
      <c r="H36" s="210">
        <f t="shared" si="0"/>
        <v>0.41643000000000002</v>
      </c>
      <c r="I36" s="210">
        <f t="shared" si="0"/>
        <v>0.35693999999999998</v>
      </c>
      <c r="K36" s="505"/>
      <c r="L36" s="505"/>
    </row>
    <row r="37" spans="1:12">
      <c r="A37" s="56"/>
      <c r="B37" s="92"/>
      <c r="C37" s="92" t="s">
        <v>540</v>
      </c>
      <c r="D37" s="210">
        <f t="shared" si="0"/>
        <v>0.71387999999999996</v>
      </c>
      <c r="E37" s="210">
        <f t="shared" si="0"/>
        <v>0.81303000000000003</v>
      </c>
      <c r="F37" s="210">
        <f t="shared" si="0"/>
        <v>0.53541000000000005</v>
      </c>
      <c r="G37" s="210">
        <f t="shared" si="0"/>
        <v>1.0311600000000001</v>
      </c>
      <c r="H37" s="210">
        <f t="shared" si="0"/>
        <v>0.49575000000000002</v>
      </c>
      <c r="I37" s="210">
        <f t="shared" si="0"/>
        <v>0.29744999999999999</v>
      </c>
      <c r="K37" s="505"/>
      <c r="L37" s="505"/>
    </row>
    <row r="38" spans="1:12">
      <c r="D38" s="2343" t="s">
        <v>542</v>
      </c>
      <c r="E38" s="2344"/>
      <c r="F38" s="2344"/>
      <c r="G38" s="2344"/>
      <c r="H38" s="2344"/>
      <c r="I38" s="2345"/>
      <c r="J38" s="31" t="s">
        <v>1228</v>
      </c>
      <c r="K38" s="505"/>
      <c r="L38" s="505"/>
    </row>
    <row r="39" spans="1:12">
      <c r="A39" s="56"/>
      <c r="B39" s="92"/>
      <c r="C39" s="92" t="s">
        <v>539</v>
      </c>
      <c r="D39" s="170">
        <f t="shared" ref="D39:H39" si="1">$D$30*D36</f>
        <v>86.498459999999994</v>
      </c>
      <c r="E39" s="170">
        <f t="shared" si="1"/>
        <v>53.303040000000003</v>
      </c>
      <c r="F39" s="170">
        <f t="shared" si="1"/>
        <v>74.243520000000004</v>
      </c>
      <c r="G39" s="170">
        <f t="shared" si="1"/>
        <v>64.249200000000002</v>
      </c>
      <c r="H39" s="170">
        <f t="shared" si="1"/>
        <v>24.985800000000001</v>
      </c>
      <c r="I39" s="170">
        <f>$I$30*I36</f>
        <v>21.773339999999997</v>
      </c>
      <c r="J39" s="170">
        <f>SUM(D39:I39)</f>
        <v>325.05336</v>
      </c>
      <c r="K39" s="505"/>
      <c r="L39" s="505"/>
    </row>
    <row r="40" spans="1:12">
      <c r="A40" s="56"/>
      <c r="B40" s="92"/>
      <c r="C40" s="92" t="s">
        <v>540</v>
      </c>
      <c r="D40" s="170">
        <f>$D$30*D37</f>
        <v>42.832799999999999</v>
      </c>
      <c r="E40" s="170">
        <f>$E$30*E37</f>
        <v>49.594830000000002</v>
      </c>
      <c r="F40" s="170">
        <f>$F$30*F37</f>
        <v>32.66001</v>
      </c>
      <c r="G40" s="170">
        <f>$G$30*G37</f>
        <v>63.931920000000005</v>
      </c>
      <c r="H40" s="170">
        <f>$H$30*H37</f>
        <v>30.240750000000002</v>
      </c>
      <c r="I40" s="170">
        <f>$I$30*I37</f>
        <v>18.144449999999999</v>
      </c>
      <c r="J40" s="170">
        <f>SUM(D40:I40)</f>
        <v>237.40476000000001</v>
      </c>
      <c r="K40" s="505"/>
      <c r="L40" s="505"/>
    </row>
    <row r="41" spans="1:12">
      <c r="A41" s="56"/>
      <c r="B41" s="92"/>
      <c r="C41" s="92"/>
      <c r="D41" s="157"/>
      <c r="E41" s="157"/>
      <c r="F41" s="157"/>
      <c r="G41" s="157"/>
    </row>
    <row r="42" spans="1:12">
      <c r="A42" s="56"/>
      <c r="B42" s="92"/>
      <c r="C42" s="92"/>
      <c r="D42" s="248">
        <v>2.7230000000000002E-3</v>
      </c>
      <c r="E42" s="157"/>
      <c r="F42" s="173"/>
      <c r="G42" s="157"/>
    </row>
    <row r="43" spans="1:12">
      <c r="A43" s="56"/>
      <c r="B43" s="92"/>
      <c r="C43" s="92"/>
      <c r="D43" s="56"/>
      <c r="F43" s="2346" t="s">
        <v>543</v>
      </c>
      <c r="G43" s="2346"/>
      <c r="H43" s="532"/>
      <c r="I43" s="532"/>
    </row>
    <row r="44" spans="1:12" ht="25">
      <c r="A44" s="56"/>
      <c r="B44" s="92"/>
      <c r="C44" s="208" t="s">
        <v>231</v>
      </c>
      <c r="D44" s="207" t="s">
        <v>132</v>
      </c>
      <c r="E44" s="211" t="s">
        <v>544</v>
      </c>
      <c r="F44" s="209" t="s">
        <v>177</v>
      </c>
      <c r="G44" s="209" t="s">
        <v>63</v>
      </c>
      <c r="H44" s="206"/>
    </row>
    <row r="45" spans="1:12">
      <c r="A45" s="56"/>
      <c r="B45" s="92"/>
      <c r="C45" s="2331" t="s">
        <v>531</v>
      </c>
      <c r="D45" s="159" t="s">
        <v>538</v>
      </c>
      <c r="E45" s="62">
        <f>D39</f>
        <v>86.498459999999994</v>
      </c>
      <c r="F45" s="62">
        <f>$E45*$D$42*E17</f>
        <v>603.44145545795993</v>
      </c>
      <c r="G45" s="62">
        <f>$E45*$D$42*$F17</f>
        <v>5.6528473579199998</v>
      </c>
      <c r="H45" s="184"/>
      <c r="I45" s="184"/>
      <c r="J45" s="158"/>
    </row>
    <row r="46" spans="1:12">
      <c r="A46" s="56"/>
      <c r="B46" s="92"/>
      <c r="C46" s="2331"/>
      <c r="D46" s="159" t="s">
        <v>533</v>
      </c>
      <c r="E46" s="62">
        <f>E39</f>
        <v>53.303040000000003</v>
      </c>
      <c r="F46" s="62">
        <f>$E46*$D$42*E18</f>
        <v>152.69167517184002</v>
      </c>
      <c r="G46" s="62">
        <f>$E46*$D$42*$F18</f>
        <v>4.0640369817600002</v>
      </c>
      <c r="H46" s="184"/>
      <c r="I46" s="184"/>
    </row>
    <row r="47" spans="1:12">
      <c r="C47" s="2331"/>
      <c r="D47" s="160" t="s">
        <v>534</v>
      </c>
      <c r="E47" s="62">
        <f>F39</f>
        <v>74.243520000000004</v>
      </c>
      <c r="F47" s="62">
        <f>$E47*$D$42*E19</f>
        <v>193.47200544672</v>
      </c>
      <c r="G47" s="62">
        <f>$E47*$D$42*$F19</f>
        <v>15.566713081920001</v>
      </c>
      <c r="H47" s="184"/>
      <c r="I47" s="184"/>
    </row>
    <row r="48" spans="1:12">
      <c r="A48" s="56"/>
      <c r="B48" s="92"/>
      <c r="C48" s="2331"/>
      <c r="D48" s="159" t="s">
        <v>535</v>
      </c>
      <c r="E48" s="62">
        <f>G39</f>
        <v>64.249200000000002</v>
      </c>
      <c r="F48" s="62">
        <f>$E48*$D$42*E20</f>
        <v>140.31035842320003</v>
      </c>
      <c r="G48" s="62">
        <f>$E48*$D$42*$F20</f>
        <v>30.091498315200003</v>
      </c>
      <c r="H48" s="184"/>
      <c r="I48" s="184"/>
    </row>
    <row r="49" spans="1:10">
      <c r="A49" s="56"/>
      <c r="B49" s="92"/>
      <c r="C49" s="2331"/>
      <c r="D49" s="159" t="s">
        <v>536</v>
      </c>
      <c r="E49" s="62">
        <f>H39</f>
        <v>24.985800000000001</v>
      </c>
      <c r="F49" s="62">
        <f>$E49*$D$42*E21</f>
        <v>116.13802111380002</v>
      </c>
      <c r="G49" s="62">
        <f>$E49*$D$42*$F21</f>
        <v>1.5648356682000002</v>
      </c>
      <c r="H49" s="184"/>
      <c r="I49" s="184"/>
    </row>
    <row r="50" spans="1:10">
      <c r="A50" s="56"/>
      <c r="B50" s="92"/>
      <c r="C50" s="2331"/>
      <c r="D50" s="159" t="s">
        <v>537</v>
      </c>
      <c r="E50" s="62">
        <f>I39</f>
        <v>21.773339999999997</v>
      </c>
      <c r="F50" s="62">
        <f>$E50*$D$42*E23</f>
        <v>143.71606288368</v>
      </c>
      <c r="G50" s="62">
        <f>$E50*$D$42*$F23</f>
        <v>1.3636425108599999</v>
      </c>
      <c r="H50" s="184"/>
      <c r="I50" s="184"/>
    </row>
    <row r="51" spans="1:10">
      <c r="A51" s="56"/>
      <c r="B51" s="92"/>
      <c r="C51" s="2331" t="s">
        <v>532</v>
      </c>
      <c r="D51" s="159" t="s">
        <v>538</v>
      </c>
      <c r="E51" s="62">
        <f>D40</f>
        <v>42.832799999999999</v>
      </c>
      <c r="F51" s="62">
        <f t="shared" ref="F51:F56" si="2">$E51*$D$42*E23</f>
        <v>282.72012370560003</v>
      </c>
      <c r="G51" s="62">
        <f t="shared" ref="G51:G56" si="3">$E51*$D$42*$F23</f>
        <v>2.6825754312000001</v>
      </c>
      <c r="H51" s="184"/>
      <c r="I51" s="184"/>
      <c r="J51" s="158"/>
    </row>
    <row r="52" spans="1:10">
      <c r="A52" s="56"/>
      <c r="B52" s="92"/>
      <c r="C52" s="2331"/>
      <c r="D52" s="159" t="s">
        <v>533</v>
      </c>
      <c r="E52" s="62">
        <f>E40</f>
        <v>49.594830000000002</v>
      </c>
      <c r="F52" s="62">
        <f t="shared" si="2"/>
        <v>116.14018099740001</v>
      </c>
      <c r="G52" s="62">
        <f t="shared" si="3"/>
        <v>3.6462614964300002</v>
      </c>
      <c r="H52" s="184"/>
      <c r="I52" s="184"/>
    </row>
    <row r="53" spans="1:10">
      <c r="A53" s="56"/>
      <c r="B53" s="92"/>
      <c r="C53" s="2331"/>
      <c r="D53" s="160" t="s">
        <v>534</v>
      </c>
      <c r="E53" s="62">
        <f>F40</f>
        <v>32.66001</v>
      </c>
      <c r="F53" s="62">
        <f t="shared" si="2"/>
        <v>78.705888398550002</v>
      </c>
      <c r="G53" s="62">
        <f t="shared" si="3"/>
        <v>6.5810573350200006</v>
      </c>
      <c r="H53" s="184"/>
      <c r="I53" s="184"/>
    </row>
    <row r="54" spans="1:10">
      <c r="A54" s="56"/>
      <c r="B54" s="92"/>
      <c r="C54" s="2331"/>
      <c r="D54" s="159" t="s">
        <v>535</v>
      </c>
      <c r="E54" s="62">
        <f>G40</f>
        <v>63.931920000000005</v>
      </c>
      <c r="F54" s="62">
        <f t="shared" si="2"/>
        <v>122.03471933016</v>
      </c>
      <c r="G54" s="62">
        <f t="shared" si="3"/>
        <v>18.279094906800001</v>
      </c>
      <c r="H54" s="184"/>
      <c r="I54" s="184"/>
    </row>
    <row r="55" spans="1:10">
      <c r="A55" s="56"/>
      <c r="B55" s="92"/>
      <c r="C55" s="2331"/>
      <c r="D55" s="159" t="s">
        <v>536</v>
      </c>
      <c r="E55" s="62">
        <f>H40</f>
        <v>30.240750000000002</v>
      </c>
      <c r="F55" s="62">
        <f t="shared" si="2"/>
        <v>131.094135102</v>
      </c>
      <c r="G55" s="62">
        <f t="shared" si="3"/>
        <v>1.4822201205000001</v>
      </c>
      <c r="H55" s="184"/>
      <c r="I55" s="184"/>
    </row>
    <row r="56" spans="1:10">
      <c r="A56" s="56"/>
      <c r="B56" s="92"/>
      <c r="C56" s="2331"/>
      <c r="D56" s="159" t="s">
        <v>537</v>
      </c>
      <c r="E56" s="62">
        <f>I40</f>
        <v>18.144449999999999</v>
      </c>
      <c r="F56" s="62">
        <f t="shared" si="2"/>
        <v>36.264985614900006</v>
      </c>
      <c r="G56" s="62">
        <f t="shared" si="3"/>
        <v>4.7925117229500005</v>
      </c>
      <c r="H56" s="184"/>
      <c r="I56" s="184"/>
    </row>
    <row r="58" spans="1:10">
      <c r="A58" s="56"/>
      <c r="B58" s="92"/>
      <c r="C58" s="92"/>
      <c r="D58" s="103"/>
      <c r="E58" s="2339" t="s">
        <v>545</v>
      </c>
      <c r="F58" s="2339"/>
      <c r="G58" s="2339"/>
      <c r="H58" s="533"/>
      <c r="I58" s="533"/>
    </row>
    <row r="59" spans="1:10" ht="26">
      <c r="A59" s="56"/>
      <c r="B59" s="92"/>
      <c r="C59" s="92"/>
      <c r="D59" s="103"/>
      <c r="E59" s="594" t="s">
        <v>546</v>
      </c>
      <c r="F59" s="595" t="s">
        <v>177</v>
      </c>
      <c r="G59" s="596" t="s">
        <v>63</v>
      </c>
      <c r="H59" s="534"/>
    </row>
    <row r="60" spans="1:10">
      <c r="A60" s="56"/>
      <c r="B60" s="92"/>
      <c r="D60" s="597" t="s">
        <v>539</v>
      </c>
      <c r="E60" s="598">
        <f>SUM(E45:E50)</f>
        <v>325.05336</v>
      </c>
      <c r="F60" s="598">
        <f>SUM(F45:F50)</f>
        <v>1349.7695784972002</v>
      </c>
      <c r="G60" s="598">
        <f>SUM(G45:G50)</f>
        <v>58.303573915859999</v>
      </c>
      <c r="H60" s="158"/>
      <c r="I60" s="158"/>
    </row>
    <row r="61" spans="1:10">
      <c r="A61" s="56"/>
      <c r="B61" s="92"/>
      <c r="D61" s="597" t="s">
        <v>540</v>
      </c>
      <c r="E61" s="598">
        <f>SUM(E51:E56)</f>
        <v>237.40476000000001</v>
      </c>
      <c r="F61" s="598">
        <f>SUM(F51:F56)</f>
        <v>766.96003314861002</v>
      </c>
      <c r="G61" s="598">
        <f>SUM(G51:G56)</f>
        <v>37.46372101290001</v>
      </c>
      <c r="H61" s="537"/>
      <c r="I61" s="158"/>
    </row>
    <row r="62" spans="1:10">
      <c r="A62" s="56"/>
      <c r="B62" s="92"/>
      <c r="D62" s="599"/>
      <c r="E62" s="2338" t="s">
        <v>547</v>
      </c>
      <c r="F62" s="2338"/>
      <c r="G62" s="2338"/>
    </row>
    <row r="63" spans="1:10">
      <c r="A63" s="56"/>
      <c r="B63" s="92"/>
      <c r="D63" s="597" t="s">
        <v>539</v>
      </c>
      <c r="E63" s="598"/>
      <c r="F63" s="598">
        <f>AVERAGE(F45:F50)</f>
        <v>224.96159641620002</v>
      </c>
      <c r="G63" s="598">
        <f>AVERAGE(G45:G50)</f>
        <v>9.7172623193100005</v>
      </c>
      <c r="H63" s="158"/>
      <c r="I63" s="158"/>
    </row>
    <row r="64" spans="1:10">
      <c r="A64" s="56"/>
      <c r="B64" s="92"/>
      <c r="D64" s="597" t="s">
        <v>540</v>
      </c>
      <c r="E64" s="598"/>
      <c r="F64" s="598">
        <f>AVERAGE(F51:F56)</f>
        <v>127.82667219143501</v>
      </c>
      <c r="G64" s="598">
        <f>AVERAGE(G51:G56)</f>
        <v>6.2439535021500019</v>
      </c>
      <c r="H64" s="158"/>
      <c r="I64" s="158"/>
    </row>
    <row r="65" spans="1:7">
      <c r="A65" s="56"/>
      <c r="B65" s="92"/>
      <c r="C65" s="92"/>
      <c r="D65" s="157"/>
      <c r="E65" s="157"/>
      <c r="F65" s="157"/>
      <c r="G65" s="157"/>
    </row>
    <row r="66" spans="1:7">
      <c r="A66" s="56"/>
      <c r="B66" s="92"/>
      <c r="C66" s="92"/>
      <c r="D66" s="157"/>
      <c r="E66" s="157"/>
      <c r="F66" s="173"/>
      <c r="G66" s="157"/>
    </row>
    <row r="68" spans="1:7">
      <c r="A68" s="56"/>
      <c r="B68" s="92"/>
      <c r="C68" s="92"/>
      <c r="D68" s="56"/>
      <c r="E68" s="157"/>
      <c r="F68" s="173"/>
      <c r="G68" s="157"/>
    </row>
    <row r="69" spans="1:7">
      <c r="A69" s="56"/>
      <c r="B69" s="92"/>
      <c r="C69" s="92"/>
      <c r="D69" s="157"/>
      <c r="E69" s="157"/>
      <c r="F69" s="157"/>
      <c r="G69" s="157"/>
    </row>
    <row r="70" spans="1:7">
      <c r="A70" s="56"/>
      <c r="B70" s="92"/>
      <c r="C70" s="92"/>
      <c r="D70" s="157"/>
      <c r="E70" s="157"/>
      <c r="F70" s="157"/>
      <c r="G70" s="157"/>
    </row>
    <row r="71" spans="1:7">
      <c r="A71" s="56"/>
      <c r="B71" s="92"/>
      <c r="C71" s="92"/>
      <c r="D71" s="157"/>
      <c r="E71" s="157"/>
      <c r="F71" s="173"/>
      <c r="G71" s="157"/>
    </row>
    <row r="72" spans="1:7">
      <c r="A72" s="56"/>
      <c r="B72" s="92"/>
      <c r="C72" s="92"/>
      <c r="D72" s="56"/>
      <c r="E72" s="157"/>
      <c r="F72" s="173"/>
      <c r="G72" s="157"/>
    </row>
    <row r="73" spans="1:7">
      <c r="A73" s="56"/>
      <c r="B73" s="92"/>
      <c r="C73" s="92"/>
      <c r="D73" s="157"/>
      <c r="E73" s="157"/>
      <c r="F73" s="157"/>
      <c r="G73" s="157"/>
    </row>
    <row r="74" spans="1:7">
      <c r="A74" s="56"/>
      <c r="B74" s="92"/>
      <c r="C74" s="92"/>
      <c r="D74" s="157"/>
      <c r="E74" s="157"/>
      <c r="F74" s="157"/>
      <c r="G74" s="157"/>
    </row>
    <row r="75" spans="1:7">
      <c r="A75" s="56"/>
      <c r="B75" s="92"/>
      <c r="C75" s="92"/>
      <c r="D75" s="157"/>
      <c r="E75" s="157"/>
      <c r="F75" s="173"/>
      <c r="G75" s="157"/>
    </row>
  </sheetData>
  <mergeCells count="18">
    <mergeCell ref="D32:I32"/>
    <mergeCell ref="B3:B8"/>
    <mergeCell ref="B17:B22"/>
    <mergeCell ref="C17:C22"/>
    <mergeCell ref="C3:C8"/>
    <mergeCell ref="E62:G62"/>
    <mergeCell ref="E58:G58"/>
    <mergeCell ref="D35:I35"/>
    <mergeCell ref="D38:I38"/>
    <mergeCell ref="C45:C50"/>
    <mergeCell ref="C51:C56"/>
    <mergeCell ref="F43:G43"/>
    <mergeCell ref="C23:C28"/>
    <mergeCell ref="B23:B28"/>
    <mergeCell ref="A17:A28"/>
    <mergeCell ref="C9:C14"/>
    <mergeCell ref="B9:B14"/>
    <mergeCell ref="A3:A1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59999389629810485"/>
  </sheetPr>
  <dimension ref="A1:P89"/>
  <sheetViews>
    <sheetView topLeftCell="A43" workbookViewId="0">
      <selection activeCell="F60" sqref="F60:I60"/>
    </sheetView>
  </sheetViews>
  <sheetFormatPr defaultRowHeight="14"/>
  <cols>
    <col min="1" max="1" width="10.453125" bestFit="1" customWidth="1"/>
    <col min="2" max="2" width="9" bestFit="1" customWidth="1"/>
    <col min="5" max="5" width="14.81640625" bestFit="1" customWidth="1"/>
    <col min="6" max="6" width="8.90625" bestFit="1" customWidth="1"/>
    <col min="7" max="7" width="16.54296875" bestFit="1" customWidth="1"/>
    <col min="8" max="8" width="9" bestFit="1" customWidth="1"/>
    <col min="9" max="10" width="8.90625" bestFit="1" customWidth="1"/>
    <col min="11" max="11" width="6.453125" bestFit="1" customWidth="1"/>
    <col min="12" max="12" width="5.81640625" bestFit="1" customWidth="1"/>
    <col min="13" max="13" width="8.90625" bestFit="1" customWidth="1"/>
    <col min="14" max="14" width="14.1796875" bestFit="1" customWidth="1"/>
    <col min="16" max="16" width="8.90625" bestFit="1" customWidth="1"/>
  </cols>
  <sheetData>
    <row r="1" spans="1:16">
      <c r="A1" s="538" t="s">
        <v>712</v>
      </c>
      <c r="B1" s="538" t="s">
        <v>713</v>
      </c>
      <c r="C1" s="539" t="s">
        <v>714</v>
      </c>
      <c r="D1" s="539" t="s">
        <v>715</v>
      </c>
      <c r="E1" s="538" t="s">
        <v>716</v>
      </c>
      <c r="F1" s="538" t="s">
        <v>717</v>
      </c>
      <c r="G1" s="538" t="s">
        <v>910</v>
      </c>
      <c r="H1" s="538" t="s">
        <v>718</v>
      </c>
      <c r="I1" s="540" t="s">
        <v>718</v>
      </c>
      <c r="J1" s="538" t="s">
        <v>911</v>
      </c>
      <c r="K1" s="538" t="s">
        <v>912</v>
      </c>
      <c r="L1" s="541" t="s">
        <v>913</v>
      </c>
      <c r="M1" s="541" t="s">
        <v>478</v>
      </c>
      <c r="N1" s="539" t="s">
        <v>914</v>
      </c>
    </row>
    <row r="2" spans="1:16">
      <c r="A2" s="1793" t="s">
        <v>1695</v>
      </c>
      <c r="B2" s="1790">
        <v>36</v>
      </c>
      <c r="C2" s="1789">
        <v>43637</v>
      </c>
      <c r="D2" s="1789">
        <v>43637</v>
      </c>
      <c r="E2" s="1794" t="s">
        <v>177</v>
      </c>
      <c r="F2" s="1785" t="s">
        <v>719</v>
      </c>
      <c r="G2" s="1791" t="s">
        <v>916</v>
      </c>
      <c r="H2" s="1787">
        <v>288</v>
      </c>
      <c r="I2" s="1792">
        <v>288</v>
      </c>
      <c r="J2" s="1785"/>
      <c r="K2" s="1795" t="s">
        <v>917</v>
      </c>
      <c r="L2" s="1788">
        <v>26</v>
      </c>
      <c r="M2" s="1788">
        <v>104</v>
      </c>
      <c r="N2" s="1786">
        <v>43656</v>
      </c>
    </row>
    <row r="3" spans="1:16">
      <c r="A3" s="1793" t="s">
        <v>1695</v>
      </c>
      <c r="B3" s="1790">
        <v>36</v>
      </c>
      <c r="C3" s="1789">
        <v>43637</v>
      </c>
      <c r="D3" s="1789">
        <v>43637</v>
      </c>
      <c r="E3" s="1785" t="s">
        <v>159</v>
      </c>
      <c r="F3" s="1785" t="s">
        <v>719</v>
      </c>
      <c r="G3" s="1791" t="s">
        <v>918</v>
      </c>
      <c r="H3" s="1787">
        <v>11</v>
      </c>
      <c r="I3" s="1792">
        <v>11</v>
      </c>
      <c r="J3" s="1787" t="s">
        <v>926</v>
      </c>
      <c r="K3" s="1785" t="s">
        <v>917</v>
      </c>
      <c r="L3" s="1788">
        <v>6</v>
      </c>
      <c r="M3" s="1788">
        <v>24</v>
      </c>
      <c r="N3" s="1786">
        <v>43656</v>
      </c>
    </row>
    <row r="4" spans="1:16">
      <c r="A4" s="1793" t="s">
        <v>1696</v>
      </c>
      <c r="B4" s="1790">
        <v>37</v>
      </c>
      <c r="C4" s="1789">
        <v>43637</v>
      </c>
      <c r="D4" s="1789">
        <v>43637</v>
      </c>
      <c r="E4" s="1794" t="s">
        <v>177</v>
      </c>
      <c r="F4" s="1785" t="s">
        <v>719</v>
      </c>
      <c r="G4" s="1791" t="s">
        <v>916</v>
      </c>
      <c r="H4" s="1787">
        <v>335</v>
      </c>
      <c r="I4" s="1792">
        <v>335</v>
      </c>
      <c r="J4" s="1785"/>
      <c r="K4" s="1795" t="s">
        <v>917</v>
      </c>
      <c r="L4" s="1788">
        <v>26</v>
      </c>
      <c r="M4" s="1788">
        <v>104</v>
      </c>
      <c r="N4" s="1786">
        <v>43656</v>
      </c>
    </row>
    <row r="5" spans="1:16">
      <c r="A5" s="1793" t="s">
        <v>1696</v>
      </c>
      <c r="B5" s="1790">
        <v>37</v>
      </c>
      <c r="C5" s="1789">
        <v>43637</v>
      </c>
      <c r="D5" s="1789">
        <v>43637</v>
      </c>
      <c r="E5" s="1785" t="s">
        <v>159</v>
      </c>
      <c r="F5" s="1785" t="s">
        <v>719</v>
      </c>
      <c r="G5" s="1791" t="s">
        <v>918</v>
      </c>
      <c r="H5" s="1787">
        <v>18</v>
      </c>
      <c r="I5" s="1792">
        <v>18</v>
      </c>
      <c r="J5" s="1787" t="s">
        <v>926</v>
      </c>
      <c r="K5" s="1785" t="s">
        <v>917</v>
      </c>
      <c r="L5" s="1788">
        <v>6</v>
      </c>
      <c r="M5" s="1788">
        <v>24</v>
      </c>
      <c r="N5" s="1786">
        <v>43656</v>
      </c>
    </row>
    <row r="6" spans="1:16">
      <c r="A6" s="1785" t="s">
        <v>1697</v>
      </c>
      <c r="B6" s="1790">
        <v>63</v>
      </c>
      <c r="C6" s="1789">
        <v>43637</v>
      </c>
      <c r="D6" s="1789">
        <v>43637</v>
      </c>
      <c r="E6" s="1794" t="s">
        <v>177</v>
      </c>
      <c r="F6" s="1785" t="s">
        <v>719</v>
      </c>
      <c r="G6" s="1791" t="s">
        <v>916</v>
      </c>
      <c r="H6" s="1787">
        <v>215</v>
      </c>
      <c r="I6" s="1792">
        <v>215</v>
      </c>
      <c r="J6" s="1785"/>
      <c r="K6" s="1795" t="s">
        <v>917</v>
      </c>
      <c r="L6" s="1788">
        <v>26</v>
      </c>
      <c r="M6" s="1788">
        <v>104</v>
      </c>
      <c r="N6" s="1786">
        <v>43656</v>
      </c>
    </row>
    <row r="7" spans="1:16">
      <c r="A7" s="1785" t="s">
        <v>1697</v>
      </c>
      <c r="B7" s="1790">
        <v>63</v>
      </c>
      <c r="C7" s="1789">
        <v>43637</v>
      </c>
      <c r="D7" s="1789">
        <v>43637</v>
      </c>
      <c r="E7" s="1785" t="s">
        <v>159</v>
      </c>
      <c r="F7" s="1785" t="s">
        <v>719</v>
      </c>
      <c r="G7" s="1791" t="s">
        <v>918</v>
      </c>
      <c r="H7" s="1787">
        <v>46</v>
      </c>
      <c r="I7" s="1792">
        <v>46</v>
      </c>
      <c r="J7" s="1787"/>
      <c r="K7" s="1785" t="s">
        <v>917</v>
      </c>
      <c r="L7" s="1788">
        <v>6</v>
      </c>
      <c r="M7" s="1788">
        <v>24</v>
      </c>
      <c r="N7" s="1786">
        <v>43656</v>
      </c>
    </row>
    <row r="8" spans="1:16">
      <c r="A8" s="1793" t="s">
        <v>1698</v>
      </c>
      <c r="B8" s="1790">
        <v>76</v>
      </c>
      <c r="C8" s="1789">
        <v>43637</v>
      </c>
      <c r="D8" s="1789">
        <v>43637</v>
      </c>
      <c r="E8" s="1794" t="s">
        <v>177</v>
      </c>
      <c r="F8" s="1785" t="s">
        <v>719</v>
      </c>
      <c r="G8" s="1791" t="s">
        <v>916</v>
      </c>
      <c r="H8" s="1787">
        <v>866</v>
      </c>
      <c r="I8" s="1792">
        <v>866</v>
      </c>
      <c r="J8" s="1785"/>
      <c r="K8" s="1795" t="s">
        <v>917</v>
      </c>
      <c r="L8" s="1788">
        <v>26</v>
      </c>
      <c r="M8" s="1788">
        <v>104</v>
      </c>
      <c r="N8" s="1786">
        <v>43656</v>
      </c>
    </row>
    <row r="9" spans="1:16">
      <c r="A9" s="1793" t="s">
        <v>1698</v>
      </c>
      <c r="B9" s="1790">
        <v>76</v>
      </c>
      <c r="C9" s="1789">
        <v>43637</v>
      </c>
      <c r="D9" s="1789">
        <v>43637</v>
      </c>
      <c r="E9" s="1785" t="s">
        <v>159</v>
      </c>
      <c r="F9" s="1785" t="s">
        <v>719</v>
      </c>
      <c r="G9" s="1791" t="s">
        <v>918</v>
      </c>
      <c r="H9" s="1787">
        <v>30</v>
      </c>
      <c r="I9" s="1792">
        <v>30</v>
      </c>
      <c r="J9" s="1785"/>
      <c r="K9" s="1785" t="s">
        <v>917</v>
      </c>
      <c r="L9" s="1788">
        <v>6</v>
      </c>
      <c r="M9" s="1788">
        <v>24</v>
      </c>
      <c r="N9" s="1786">
        <v>43656</v>
      </c>
    </row>
    <row r="10" spans="1:16">
      <c r="A10" s="1793" t="s">
        <v>1699</v>
      </c>
      <c r="B10" s="1790">
        <v>95</v>
      </c>
      <c r="C10" s="1789">
        <v>43637</v>
      </c>
      <c r="D10" s="1789">
        <v>43637</v>
      </c>
      <c r="E10" s="1794" t="s">
        <v>177</v>
      </c>
      <c r="F10" s="1785" t="s">
        <v>719</v>
      </c>
      <c r="G10" s="1791" t="s">
        <v>916</v>
      </c>
      <c r="H10" s="1787">
        <v>386</v>
      </c>
      <c r="I10" s="1792">
        <v>386</v>
      </c>
      <c r="J10" s="1785"/>
      <c r="K10" s="1795" t="s">
        <v>917</v>
      </c>
      <c r="L10" s="1788">
        <v>26</v>
      </c>
      <c r="M10" s="1788">
        <v>104</v>
      </c>
      <c r="N10" s="1786">
        <v>43656</v>
      </c>
    </row>
    <row r="11" spans="1:16">
      <c r="A11" s="1793" t="s">
        <v>1699</v>
      </c>
      <c r="B11" s="1790">
        <v>95</v>
      </c>
      <c r="C11" s="1789">
        <v>43637</v>
      </c>
      <c r="D11" s="1789">
        <v>43637</v>
      </c>
      <c r="E11" s="1785" t="s">
        <v>159</v>
      </c>
      <c r="F11" s="1785" t="s">
        <v>719</v>
      </c>
      <c r="G11" s="1791" t="s">
        <v>918</v>
      </c>
      <c r="H11" s="1787">
        <v>14</v>
      </c>
      <c r="I11" s="1792">
        <v>14</v>
      </c>
      <c r="J11" s="1787" t="s">
        <v>926</v>
      </c>
      <c r="K11" s="1785" t="s">
        <v>917</v>
      </c>
      <c r="L11" s="1788">
        <v>6</v>
      </c>
      <c r="M11" s="1788">
        <v>24</v>
      </c>
      <c r="N11" s="1786">
        <v>43656</v>
      </c>
    </row>
    <row r="12" spans="1:16">
      <c r="A12" s="1807" t="s">
        <v>1708</v>
      </c>
      <c r="B12" s="1813">
        <v>36</v>
      </c>
      <c r="C12" s="1812">
        <v>43664</v>
      </c>
      <c r="D12" s="1812">
        <v>43664</v>
      </c>
      <c r="E12" s="1817" t="s">
        <v>177</v>
      </c>
      <c r="F12" s="1808" t="s">
        <v>719</v>
      </c>
      <c r="G12" s="1814" t="s">
        <v>916</v>
      </c>
      <c r="H12" s="1810">
        <v>944</v>
      </c>
      <c r="I12" s="1815">
        <v>944</v>
      </c>
      <c r="J12" s="1808"/>
      <c r="K12" s="1818" t="s">
        <v>917</v>
      </c>
      <c r="L12" s="1811">
        <v>26</v>
      </c>
      <c r="M12" s="1811">
        <v>104</v>
      </c>
      <c r="N12" s="1809">
        <v>43679</v>
      </c>
    </row>
    <row r="13" spans="1:16">
      <c r="A13" s="1807" t="s">
        <v>1708</v>
      </c>
      <c r="B13" s="1813">
        <v>36</v>
      </c>
      <c r="C13" s="1812">
        <v>43664</v>
      </c>
      <c r="D13" s="1812">
        <v>43664</v>
      </c>
      <c r="E13" s="1808" t="s">
        <v>159</v>
      </c>
      <c r="F13" s="1808" t="s">
        <v>719</v>
      </c>
      <c r="G13" s="1814" t="s">
        <v>918</v>
      </c>
      <c r="H13" s="1810">
        <v>255</v>
      </c>
      <c r="I13" s="1815">
        <v>255</v>
      </c>
      <c r="J13" s="1810"/>
      <c r="K13" s="1808" t="s">
        <v>917</v>
      </c>
      <c r="L13" s="1811">
        <v>6</v>
      </c>
      <c r="M13" s="1811">
        <v>24</v>
      </c>
      <c r="N13" s="1809">
        <v>43679</v>
      </c>
      <c r="P13" s="45">
        <v>43637</v>
      </c>
    </row>
    <row r="14" spans="1:16">
      <c r="A14" s="1816" t="s">
        <v>1709</v>
      </c>
      <c r="B14" s="1813">
        <v>37</v>
      </c>
      <c r="C14" s="1812">
        <v>43664</v>
      </c>
      <c r="D14" s="1812">
        <v>43664</v>
      </c>
      <c r="E14" s="1817" t="s">
        <v>177</v>
      </c>
      <c r="F14" s="1808" t="s">
        <v>719</v>
      </c>
      <c r="G14" s="1814" t="s">
        <v>916</v>
      </c>
      <c r="H14" s="1810">
        <v>345</v>
      </c>
      <c r="I14" s="1815">
        <v>345</v>
      </c>
      <c r="J14" s="1808"/>
      <c r="K14" s="1818" t="s">
        <v>917</v>
      </c>
      <c r="L14" s="1811">
        <v>26</v>
      </c>
      <c r="M14" s="1811">
        <v>104</v>
      </c>
      <c r="N14" s="1809">
        <v>43679</v>
      </c>
      <c r="P14" s="45">
        <v>43664</v>
      </c>
    </row>
    <row r="15" spans="1:16">
      <c r="A15" s="1807" t="s">
        <v>1709</v>
      </c>
      <c r="B15" s="1813">
        <v>37</v>
      </c>
      <c r="C15" s="1812">
        <v>43664</v>
      </c>
      <c r="D15" s="1812">
        <v>43664</v>
      </c>
      <c r="E15" s="1808" t="s">
        <v>159</v>
      </c>
      <c r="F15" s="1808" t="s">
        <v>719</v>
      </c>
      <c r="G15" s="1814" t="s">
        <v>918</v>
      </c>
      <c r="H15" s="1810">
        <v>17</v>
      </c>
      <c r="I15" s="1815">
        <v>17</v>
      </c>
      <c r="J15" s="1810" t="s">
        <v>926</v>
      </c>
      <c r="K15" s="1808" t="s">
        <v>917</v>
      </c>
      <c r="L15" s="1811">
        <v>6</v>
      </c>
      <c r="M15" s="1811">
        <v>24</v>
      </c>
      <c r="N15" s="1809">
        <v>43679</v>
      </c>
      <c r="P15" s="45">
        <v>43691</v>
      </c>
    </row>
    <row r="16" spans="1:16">
      <c r="A16" s="1808" t="s">
        <v>1710</v>
      </c>
      <c r="B16" s="1813">
        <v>63</v>
      </c>
      <c r="C16" s="1812">
        <v>43664</v>
      </c>
      <c r="D16" s="1812">
        <v>43664</v>
      </c>
      <c r="E16" s="1817" t="s">
        <v>177</v>
      </c>
      <c r="F16" s="1808" t="s">
        <v>719</v>
      </c>
      <c r="G16" s="1814" t="s">
        <v>916</v>
      </c>
      <c r="H16" s="1810">
        <v>228</v>
      </c>
      <c r="I16" s="1815">
        <v>228</v>
      </c>
      <c r="J16" s="1808"/>
      <c r="K16" s="1818" t="s">
        <v>917</v>
      </c>
      <c r="L16" s="1811">
        <v>26</v>
      </c>
      <c r="M16" s="1811">
        <v>104</v>
      </c>
      <c r="N16" s="1809">
        <v>43679</v>
      </c>
      <c r="P16" s="45">
        <v>43720</v>
      </c>
    </row>
    <row r="17" spans="1:16">
      <c r="A17" s="1816" t="s">
        <v>1710</v>
      </c>
      <c r="B17" s="1813">
        <v>63</v>
      </c>
      <c r="C17" s="1812">
        <v>43664</v>
      </c>
      <c r="D17" s="1812">
        <v>43664</v>
      </c>
      <c r="E17" s="1808" t="s">
        <v>159</v>
      </c>
      <c r="F17" s="1808" t="s">
        <v>719</v>
      </c>
      <c r="G17" s="1814" t="s">
        <v>918</v>
      </c>
      <c r="H17" s="1810">
        <v>203</v>
      </c>
      <c r="I17" s="1815">
        <v>203</v>
      </c>
      <c r="J17" s="1810"/>
      <c r="K17" s="1808" t="s">
        <v>917</v>
      </c>
      <c r="L17" s="1811">
        <v>6</v>
      </c>
      <c r="M17" s="1811">
        <v>24</v>
      </c>
      <c r="N17" s="1809">
        <v>43679</v>
      </c>
      <c r="P17" s="45">
        <v>43741</v>
      </c>
    </row>
    <row r="18" spans="1:16">
      <c r="A18" s="1808" t="s">
        <v>1711</v>
      </c>
      <c r="B18" s="1813">
        <v>76</v>
      </c>
      <c r="C18" s="1812">
        <v>43664</v>
      </c>
      <c r="D18" s="1812">
        <v>43664</v>
      </c>
      <c r="E18" s="1817" t="s">
        <v>177</v>
      </c>
      <c r="F18" s="1808" t="s">
        <v>719</v>
      </c>
      <c r="G18" s="1814" t="s">
        <v>916</v>
      </c>
      <c r="H18" s="1810">
        <v>549</v>
      </c>
      <c r="I18" s="1815">
        <v>549</v>
      </c>
      <c r="J18" s="1808"/>
      <c r="K18" s="1818" t="s">
        <v>917</v>
      </c>
      <c r="L18" s="1811">
        <v>26</v>
      </c>
      <c r="M18" s="1811">
        <v>104</v>
      </c>
      <c r="N18" s="1809">
        <v>43679</v>
      </c>
      <c r="P18" s="45"/>
    </row>
    <row r="19" spans="1:16">
      <c r="A19" s="1808" t="s">
        <v>1711</v>
      </c>
      <c r="B19" s="1813">
        <v>76</v>
      </c>
      <c r="C19" s="1812">
        <v>43664</v>
      </c>
      <c r="D19" s="1812">
        <v>43664</v>
      </c>
      <c r="E19" s="1808" t="s">
        <v>159</v>
      </c>
      <c r="F19" s="1808" t="s">
        <v>719</v>
      </c>
      <c r="G19" s="1814" t="s">
        <v>918</v>
      </c>
      <c r="H19" s="1810">
        <v>34</v>
      </c>
      <c r="I19" s="1815">
        <v>34</v>
      </c>
      <c r="J19" s="1810"/>
      <c r="K19" s="1808" t="s">
        <v>917</v>
      </c>
      <c r="L19" s="1811">
        <v>6</v>
      </c>
      <c r="M19" s="1811">
        <v>24</v>
      </c>
      <c r="N19" s="1809">
        <v>43679</v>
      </c>
      <c r="P19" s="45"/>
    </row>
    <row r="20" spans="1:16">
      <c r="A20" s="1808" t="s">
        <v>1712</v>
      </c>
      <c r="B20" s="1813">
        <v>95</v>
      </c>
      <c r="C20" s="1812">
        <v>43664</v>
      </c>
      <c r="D20" s="1812">
        <v>43664</v>
      </c>
      <c r="E20" s="1817" t="s">
        <v>177</v>
      </c>
      <c r="F20" s="1808" t="s">
        <v>719</v>
      </c>
      <c r="G20" s="1814" t="s">
        <v>916</v>
      </c>
      <c r="H20" s="1810">
        <v>114</v>
      </c>
      <c r="I20" s="1815">
        <v>114</v>
      </c>
      <c r="J20" s="1808"/>
      <c r="K20" s="1818" t="s">
        <v>917</v>
      </c>
      <c r="L20" s="1811">
        <v>26</v>
      </c>
      <c r="M20" s="1811">
        <v>104</v>
      </c>
      <c r="N20" s="1809">
        <v>43679</v>
      </c>
      <c r="P20" s="45"/>
    </row>
    <row r="21" spans="1:16">
      <c r="A21" s="1808" t="s">
        <v>1712</v>
      </c>
      <c r="B21" s="1813">
        <v>95</v>
      </c>
      <c r="C21" s="1812">
        <v>43664</v>
      </c>
      <c r="D21" s="1812">
        <v>43664</v>
      </c>
      <c r="E21" s="1808" t="s">
        <v>159</v>
      </c>
      <c r="F21" s="1808" t="s">
        <v>719</v>
      </c>
      <c r="G21" s="1814" t="s">
        <v>918</v>
      </c>
      <c r="H21" s="1810">
        <v>115</v>
      </c>
      <c r="I21" s="1815">
        <v>115</v>
      </c>
      <c r="J21" s="1810"/>
      <c r="K21" s="1808" t="s">
        <v>917</v>
      </c>
      <c r="L21" s="1811">
        <v>6</v>
      </c>
      <c r="M21" s="1811">
        <v>24</v>
      </c>
      <c r="N21" s="1809">
        <v>43679</v>
      </c>
    </row>
    <row r="22" spans="1:16">
      <c r="A22" s="1804" t="s">
        <v>1700</v>
      </c>
      <c r="B22" s="1801">
        <v>36</v>
      </c>
      <c r="C22" s="1800">
        <v>43691</v>
      </c>
      <c r="D22" s="1800">
        <v>43692</v>
      </c>
      <c r="E22" s="1805" t="s">
        <v>177</v>
      </c>
      <c r="F22" s="1796" t="s">
        <v>719</v>
      </c>
      <c r="G22" s="1802" t="s">
        <v>916</v>
      </c>
      <c r="H22" s="1798">
        <v>319</v>
      </c>
      <c r="I22" s="1803">
        <v>319</v>
      </c>
      <c r="J22" s="1798" t="s">
        <v>1701</v>
      </c>
      <c r="K22" s="1806" t="s">
        <v>917</v>
      </c>
      <c r="L22" s="1799">
        <v>26</v>
      </c>
      <c r="M22" s="1799">
        <v>104</v>
      </c>
      <c r="N22" s="1797">
        <v>43741</v>
      </c>
    </row>
    <row r="23" spans="1:16">
      <c r="A23" s="1804" t="s">
        <v>1700</v>
      </c>
      <c r="B23" s="1801">
        <v>36</v>
      </c>
      <c r="C23" s="1800">
        <v>43691</v>
      </c>
      <c r="D23" s="1800">
        <v>43692</v>
      </c>
      <c r="E23" s="1796" t="s">
        <v>159</v>
      </c>
      <c r="F23" s="1796" t="s">
        <v>719</v>
      </c>
      <c r="G23" s="1802" t="s">
        <v>918</v>
      </c>
      <c r="H23" s="1798">
        <v>14</v>
      </c>
      <c r="I23" s="1803">
        <v>14</v>
      </c>
      <c r="J23" s="1798" t="s">
        <v>1702</v>
      </c>
      <c r="K23" s="1796" t="s">
        <v>917</v>
      </c>
      <c r="L23" s="1799">
        <v>6</v>
      </c>
      <c r="M23" s="1799">
        <v>24</v>
      </c>
      <c r="N23" s="1797">
        <v>43741</v>
      </c>
    </row>
    <row r="24" spans="1:16">
      <c r="A24" s="1804" t="s">
        <v>1703</v>
      </c>
      <c r="B24" s="1801">
        <v>37</v>
      </c>
      <c r="C24" s="1800">
        <v>43691</v>
      </c>
      <c r="D24" s="1800">
        <v>43692</v>
      </c>
      <c r="E24" s="1805" t="s">
        <v>177</v>
      </c>
      <c r="F24" s="1796" t="s">
        <v>719</v>
      </c>
      <c r="G24" s="1802" t="s">
        <v>916</v>
      </c>
      <c r="H24" s="1798">
        <v>244</v>
      </c>
      <c r="I24" s="1803">
        <v>244</v>
      </c>
      <c r="J24" s="1798" t="s">
        <v>1701</v>
      </c>
      <c r="K24" s="1806" t="s">
        <v>917</v>
      </c>
      <c r="L24" s="1799">
        <v>26</v>
      </c>
      <c r="M24" s="1799">
        <v>104</v>
      </c>
      <c r="N24" s="1797">
        <v>43741</v>
      </c>
    </row>
    <row r="25" spans="1:16">
      <c r="A25" s="1804" t="s">
        <v>1703</v>
      </c>
      <c r="B25" s="1801">
        <v>37</v>
      </c>
      <c r="C25" s="1800">
        <v>43691</v>
      </c>
      <c r="D25" s="1800">
        <v>43692</v>
      </c>
      <c r="E25" s="1796" t="s">
        <v>159</v>
      </c>
      <c r="F25" s="1796" t="s">
        <v>719</v>
      </c>
      <c r="G25" s="1802" t="s">
        <v>918</v>
      </c>
      <c r="H25" s="1798">
        <v>6</v>
      </c>
      <c r="I25" s="1803"/>
      <c r="J25" s="1798" t="s">
        <v>1704</v>
      </c>
      <c r="K25" s="1796" t="s">
        <v>917</v>
      </c>
      <c r="L25" s="1799">
        <v>6</v>
      </c>
      <c r="M25" s="1799">
        <v>24</v>
      </c>
      <c r="N25" s="1797">
        <v>43741</v>
      </c>
    </row>
    <row r="26" spans="1:16">
      <c r="A26" s="1796" t="s">
        <v>1705</v>
      </c>
      <c r="B26" s="1801">
        <v>63</v>
      </c>
      <c r="C26" s="1800">
        <v>43691</v>
      </c>
      <c r="D26" s="1800">
        <v>43692</v>
      </c>
      <c r="E26" s="1805" t="s">
        <v>177</v>
      </c>
      <c r="F26" s="1796" t="s">
        <v>719</v>
      </c>
      <c r="G26" s="1802" t="s">
        <v>916</v>
      </c>
      <c r="H26" s="1798">
        <v>478</v>
      </c>
      <c r="I26" s="1803">
        <v>478</v>
      </c>
      <c r="J26" s="1798" t="s">
        <v>1701</v>
      </c>
      <c r="K26" s="1806" t="s">
        <v>917</v>
      </c>
      <c r="L26" s="1799">
        <v>26</v>
      </c>
      <c r="M26" s="1799">
        <v>104</v>
      </c>
      <c r="N26" s="1797">
        <v>43741</v>
      </c>
    </row>
    <row r="27" spans="1:16">
      <c r="A27" s="1796" t="s">
        <v>1705</v>
      </c>
      <c r="B27" s="1801">
        <v>63</v>
      </c>
      <c r="C27" s="1800">
        <v>43691</v>
      </c>
      <c r="D27" s="1800">
        <v>43692</v>
      </c>
      <c r="E27" s="1796" t="s">
        <v>159</v>
      </c>
      <c r="F27" s="1796" t="s">
        <v>719</v>
      </c>
      <c r="G27" s="1802" t="s">
        <v>918</v>
      </c>
      <c r="H27" s="1798">
        <v>409</v>
      </c>
      <c r="I27" s="1803">
        <v>409</v>
      </c>
      <c r="J27" s="1798" t="s">
        <v>1701</v>
      </c>
      <c r="K27" s="1796" t="s">
        <v>917</v>
      </c>
      <c r="L27" s="1799">
        <v>6</v>
      </c>
      <c r="M27" s="1799">
        <v>24</v>
      </c>
      <c r="N27" s="1797">
        <v>43741</v>
      </c>
    </row>
    <row r="28" spans="1:16">
      <c r="A28" s="1804" t="s">
        <v>1706</v>
      </c>
      <c r="B28" s="1801">
        <v>76</v>
      </c>
      <c r="C28" s="1800">
        <v>43691</v>
      </c>
      <c r="D28" s="1800">
        <v>43692</v>
      </c>
      <c r="E28" s="1805" t="s">
        <v>177</v>
      </c>
      <c r="F28" s="1796" t="s">
        <v>719</v>
      </c>
      <c r="G28" s="1802" t="s">
        <v>916</v>
      </c>
      <c r="H28" s="1798">
        <v>365</v>
      </c>
      <c r="I28" s="1803">
        <v>365</v>
      </c>
      <c r="J28" s="1798" t="s">
        <v>1701</v>
      </c>
      <c r="K28" s="1806" t="s">
        <v>917</v>
      </c>
      <c r="L28" s="1799">
        <v>26</v>
      </c>
      <c r="M28" s="1799">
        <v>104</v>
      </c>
      <c r="N28" s="1797">
        <v>43741</v>
      </c>
    </row>
    <row r="29" spans="1:16">
      <c r="A29" s="1804" t="s">
        <v>1706</v>
      </c>
      <c r="B29" s="1801">
        <v>76</v>
      </c>
      <c r="C29" s="1800">
        <v>43691</v>
      </c>
      <c r="D29" s="1800">
        <v>43692</v>
      </c>
      <c r="E29" s="1796" t="s">
        <v>159</v>
      </c>
      <c r="F29" s="1796" t="s">
        <v>719</v>
      </c>
      <c r="G29" s="1802" t="s">
        <v>918</v>
      </c>
      <c r="H29" s="1798">
        <v>15</v>
      </c>
      <c r="I29" s="1803">
        <v>15</v>
      </c>
      <c r="J29" s="1798" t="s">
        <v>1702</v>
      </c>
      <c r="K29" s="1796" t="s">
        <v>917</v>
      </c>
      <c r="L29" s="1799">
        <v>6</v>
      </c>
      <c r="M29" s="1799">
        <v>24</v>
      </c>
      <c r="N29" s="1797">
        <v>43741</v>
      </c>
    </row>
    <row r="30" spans="1:16">
      <c r="A30" s="1804" t="s">
        <v>1707</v>
      </c>
      <c r="B30" s="1801">
        <v>95</v>
      </c>
      <c r="C30" s="1800">
        <v>43691</v>
      </c>
      <c r="D30" s="1800">
        <v>43692</v>
      </c>
      <c r="E30" s="1805" t="s">
        <v>177</v>
      </c>
      <c r="F30" s="1796" t="s">
        <v>719</v>
      </c>
      <c r="G30" s="1802" t="s">
        <v>916</v>
      </c>
      <c r="H30" s="1798">
        <v>90</v>
      </c>
      <c r="I30" s="1803">
        <v>90</v>
      </c>
      <c r="J30" s="1798" t="s">
        <v>1702</v>
      </c>
      <c r="K30" s="1806" t="s">
        <v>917</v>
      </c>
      <c r="L30" s="1799">
        <v>26</v>
      </c>
      <c r="M30" s="1799">
        <v>104</v>
      </c>
      <c r="N30" s="1797">
        <v>43741</v>
      </c>
    </row>
    <row r="31" spans="1:16">
      <c r="A31" s="1804" t="s">
        <v>1707</v>
      </c>
      <c r="B31" s="1801">
        <v>95</v>
      </c>
      <c r="C31" s="1800">
        <v>43691</v>
      </c>
      <c r="D31" s="1800">
        <v>43692</v>
      </c>
      <c r="E31" s="1796" t="s">
        <v>159</v>
      </c>
      <c r="F31" s="1796" t="s">
        <v>719</v>
      </c>
      <c r="G31" s="1802" t="s">
        <v>918</v>
      </c>
      <c r="H31" s="1798">
        <v>9</v>
      </c>
      <c r="I31" s="1803">
        <v>9</v>
      </c>
      <c r="J31" s="1798" t="s">
        <v>1702</v>
      </c>
      <c r="K31" s="1796" t="s">
        <v>917</v>
      </c>
      <c r="L31" s="1799">
        <v>6</v>
      </c>
      <c r="M31" s="1799">
        <v>24</v>
      </c>
      <c r="N31" s="1797">
        <v>43741</v>
      </c>
    </row>
    <row r="32" spans="1:16">
      <c r="A32" s="1827" t="s">
        <v>1713</v>
      </c>
      <c r="B32" s="1824">
        <v>36</v>
      </c>
      <c r="C32" s="1823">
        <v>43720</v>
      </c>
      <c r="D32" s="1823">
        <v>43720</v>
      </c>
      <c r="E32" s="1828" t="s">
        <v>177</v>
      </c>
      <c r="F32" s="1819" t="s">
        <v>719</v>
      </c>
      <c r="G32" s="1825" t="s">
        <v>916</v>
      </c>
      <c r="H32" s="1821">
        <v>237</v>
      </c>
      <c r="I32" s="1826">
        <v>237</v>
      </c>
      <c r="J32" s="1821"/>
      <c r="K32" s="1829" t="s">
        <v>917</v>
      </c>
      <c r="L32" s="1822">
        <v>26</v>
      </c>
      <c r="M32" s="1822">
        <v>104</v>
      </c>
      <c r="N32" s="1820">
        <v>43741</v>
      </c>
    </row>
    <row r="33" spans="1:14">
      <c r="A33" s="1827" t="s">
        <v>1713</v>
      </c>
      <c r="B33" s="1824">
        <v>36</v>
      </c>
      <c r="C33" s="1823">
        <v>43720</v>
      </c>
      <c r="D33" s="1823">
        <v>43720</v>
      </c>
      <c r="E33" s="1819" t="s">
        <v>159</v>
      </c>
      <c r="F33" s="1819" t="s">
        <v>719</v>
      </c>
      <c r="G33" s="1825" t="s">
        <v>918</v>
      </c>
      <c r="H33" s="1821">
        <v>6</v>
      </c>
      <c r="I33" s="1826"/>
      <c r="J33" s="1821" t="s">
        <v>919</v>
      </c>
      <c r="K33" s="1819" t="s">
        <v>917</v>
      </c>
      <c r="L33" s="1822">
        <v>6</v>
      </c>
      <c r="M33" s="1822">
        <v>24</v>
      </c>
      <c r="N33" s="1820">
        <v>43741</v>
      </c>
    </row>
    <row r="34" spans="1:14">
      <c r="A34" s="1827" t="s">
        <v>1714</v>
      </c>
      <c r="B34" s="1824">
        <v>37</v>
      </c>
      <c r="C34" s="1823">
        <v>43720</v>
      </c>
      <c r="D34" s="1823">
        <v>43720</v>
      </c>
      <c r="E34" s="1828" t="s">
        <v>177</v>
      </c>
      <c r="F34" s="1819" t="s">
        <v>719</v>
      </c>
      <c r="G34" s="1825" t="s">
        <v>916</v>
      </c>
      <c r="H34" s="1821">
        <v>262</v>
      </c>
      <c r="I34" s="1826">
        <v>262</v>
      </c>
      <c r="J34" s="1821"/>
      <c r="K34" s="1829" t="s">
        <v>917</v>
      </c>
      <c r="L34" s="1822">
        <v>26</v>
      </c>
      <c r="M34" s="1822">
        <v>104</v>
      </c>
      <c r="N34" s="1820">
        <v>43741</v>
      </c>
    </row>
    <row r="35" spans="1:14">
      <c r="A35" s="1827" t="s">
        <v>1714</v>
      </c>
      <c r="B35" s="1824">
        <v>37</v>
      </c>
      <c r="C35" s="1823">
        <v>43720</v>
      </c>
      <c r="D35" s="1823">
        <v>43720</v>
      </c>
      <c r="E35" s="1819" t="s">
        <v>159</v>
      </c>
      <c r="F35" s="1819" t="s">
        <v>719</v>
      </c>
      <c r="G35" s="1825" t="s">
        <v>918</v>
      </c>
      <c r="H35" s="1821">
        <v>6</v>
      </c>
      <c r="I35" s="1826"/>
      <c r="J35" s="1821" t="s">
        <v>919</v>
      </c>
      <c r="K35" s="1819" t="s">
        <v>917</v>
      </c>
      <c r="L35" s="1822">
        <v>6</v>
      </c>
      <c r="M35" s="1822">
        <v>24</v>
      </c>
      <c r="N35" s="1820">
        <v>43741</v>
      </c>
    </row>
    <row r="36" spans="1:14">
      <c r="A36" s="1819" t="s">
        <v>1715</v>
      </c>
      <c r="B36" s="1824">
        <v>63</v>
      </c>
      <c r="C36" s="1823">
        <v>43720</v>
      </c>
      <c r="D36" s="1823">
        <v>43720</v>
      </c>
      <c r="E36" s="1828" t="s">
        <v>177</v>
      </c>
      <c r="F36" s="1819" t="s">
        <v>719</v>
      </c>
      <c r="G36" s="1825" t="s">
        <v>916</v>
      </c>
      <c r="H36" s="1821">
        <v>4581</v>
      </c>
      <c r="I36" s="1826">
        <v>4581</v>
      </c>
      <c r="J36" s="1821"/>
      <c r="K36" s="1829" t="s">
        <v>917</v>
      </c>
      <c r="L36" s="1822">
        <v>26</v>
      </c>
      <c r="M36" s="1822">
        <v>104</v>
      </c>
      <c r="N36" s="1820">
        <v>43753</v>
      </c>
    </row>
    <row r="37" spans="1:14">
      <c r="A37" s="1819" t="s">
        <v>1715</v>
      </c>
      <c r="B37" s="1824">
        <v>63</v>
      </c>
      <c r="C37" s="1823">
        <v>43720</v>
      </c>
      <c r="D37" s="1823">
        <v>43720</v>
      </c>
      <c r="E37" s="1819" t="s">
        <v>159</v>
      </c>
      <c r="F37" s="1819" t="s">
        <v>719</v>
      </c>
      <c r="G37" s="1825" t="s">
        <v>918</v>
      </c>
      <c r="H37" s="1821">
        <v>4709</v>
      </c>
      <c r="I37" s="1826">
        <v>4709</v>
      </c>
      <c r="J37" s="1821"/>
      <c r="K37" s="1819" t="s">
        <v>917</v>
      </c>
      <c r="L37" s="1822">
        <v>6</v>
      </c>
      <c r="M37" s="1822">
        <v>24</v>
      </c>
      <c r="N37" s="1820">
        <v>43753</v>
      </c>
    </row>
    <row r="38" spans="1:14">
      <c r="A38" s="1827" t="s">
        <v>1716</v>
      </c>
      <c r="B38" s="1824">
        <v>95</v>
      </c>
      <c r="C38" s="1823">
        <v>43720</v>
      </c>
      <c r="D38" s="1823">
        <v>43720</v>
      </c>
      <c r="E38" s="1828" t="s">
        <v>177</v>
      </c>
      <c r="F38" s="1819" t="s">
        <v>719</v>
      </c>
      <c r="G38" s="1825" t="s">
        <v>916</v>
      </c>
      <c r="H38" s="1821">
        <v>26</v>
      </c>
      <c r="I38" s="1826">
        <v>26</v>
      </c>
      <c r="J38" s="1821" t="s">
        <v>926</v>
      </c>
      <c r="K38" s="1829" t="s">
        <v>917</v>
      </c>
      <c r="L38" s="1822">
        <v>26</v>
      </c>
      <c r="M38" s="1822">
        <v>104</v>
      </c>
      <c r="N38" s="1820">
        <v>43741</v>
      </c>
    </row>
    <row r="39" spans="1:14">
      <c r="A39" s="1827" t="s">
        <v>1716</v>
      </c>
      <c r="B39" s="1824">
        <v>95</v>
      </c>
      <c r="C39" s="1823">
        <v>43720</v>
      </c>
      <c r="D39" s="1823">
        <v>43720</v>
      </c>
      <c r="E39" s="1819" t="s">
        <v>159</v>
      </c>
      <c r="F39" s="1819" t="s">
        <v>719</v>
      </c>
      <c r="G39" s="1825" t="s">
        <v>918</v>
      </c>
      <c r="H39" s="1821">
        <v>16</v>
      </c>
      <c r="I39" s="1826">
        <v>16</v>
      </c>
      <c r="J39" s="1821" t="s">
        <v>926</v>
      </c>
      <c r="K39" s="1819" t="s">
        <v>917</v>
      </c>
      <c r="L39" s="1822">
        <v>6</v>
      </c>
      <c r="M39" s="1822">
        <v>24</v>
      </c>
      <c r="N39" s="1820">
        <v>43741</v>
      </c>
    </row>
    <row r="40" spans="1:14">
      <c r="A40" s="1838" t="s">
        <v>1717</v>
      </c>
      <c r="B40" s="1835">
        <v>36</v>
      </c>
      <c r="C40" s="1834">
        <v>43741</v>
      </c>
      <c r="D40" s="1834">
        <v>43741</v>
      </c>
      <c r="E40" s="1839" t="s">
        <v>177</v>
      </c>
      <c r="F40" s="1830" t="s">
        <v>719</v>
      </c>
      <c r="G40" s="1836" t="s">
        <v>916</v>
      </c>
      <c r="H40" s="1832">
        <v>424</v>
      </c>
      <c r="I40" s="1837">
        <v>424</v>
      </c>
      <c r="J40" s="1832"/>
      <c r="K40" s="1840" t="s">
        <v>917</v>
      </c>
      <c r="L40" s="1833">
        <v>26</v>
      </c>
      <c r="M40" s="1833">
        <v>104</v>
      </c>
      <c r="N40" s="1831">
        <v>43756</v>
      </c>
    </row>
    <row r="41" spans="1:14">
      <c r="A41" s="1838" t="s">
        <v>1717</v>
      </c>
      <c r="B41" s="1835">
        <v>36</v>
      </c>
      <c r="C41" s="1834">
        <v>43741</v>
      </c>
      <c r="D41" s="1834">
        <v>43741</v>
      </c>
      <c r="E41" s="1830" t="s">
        <v>159</v>
      </c>
      <c r="F41" s="1830" t="s">
        <v>719</v>
      </c>
      <c r="G41" s="1836" t="s">
        <v>918</v>
      </c>
      <c r="H41" s="1832">
        <v>49</v>
      </c>
      <c r="I41" s="1837">
        <v>49</v>
      </c>
      <c r="J41" s="1832"/>
      <c r="K41" s="1830" t="s">
        <v>917</v>
      </c>
      <c r="L41" s="1833">
        <v>6</v>
      </c>
      <c r="M41" s="1833">
        <v>24</v>
      </c>
      <c r="N41" s="1831">
        <v>43756</v>
      </c>
    </row>
    <row r="42" spans="1:14">
      <c r="A42" s="1838" t="s">
        <v>1718</v>
      </c>
      <c r="B42" s="1835">
        <v>37</v>
      </c>
      <c r="C42" s="1834">
        <v>43741</v>
      </c>
      <c r="D42" s="1834">
        <v>43741</v>
      </c>
      <c r="E42" s="1839" t="s">
        <v>177</v>
      </c>
      <c r="F42" s="1830" t="s">
        <v>719</v>
      </c>
      <c r="G42" s="1836" t="s">
        <v>916</v>
      </c>
      <c r="H42" s="1832">
        <v>300</v>
      </c>
      <c r="I42" s="1837">
        <v>300</v>
      </c>
      <c r="J42" s="1832"/>
      <c r="K42" s="1840" t="s">
        <v>917</v>
      </c>
      <c r="L42" s="1833">
        <v>26</v>
      </c>
      <c r="M42" s="1833">
        <v>104</v>
      </c>
      <c r="N42" s="1831">
        <v>43756</v>
      </c>
    </row>
    <row r="43" spans="1:14">
      <c r="A43" s="1838" t="s">
        <v>1718</v>
      </c>
      <c r="B43" s="1835">
        <v>37</v>
      </c>
      <c r="C43" s="1834">
        <v>43741</v>
      </c>
      <c r="D43" s="1834">
        <v>43741</v>
      </c>
      <c r="E43" s="1830" t="s">
        <v>159</v>
      </c>
      <c r="F43" s="1830" t="s">
        <v>719</v>
      </c>
      <c r="G43" s="1836" t="s">
        <v>918</v>
      </c>
      <c r="H43" s="1832">
        <v>11</v>
      </c>
      <c r="I43" s="1837">
        <v>11</v>
      </c>
      <c r="J43" s="1832" t="s">
        <v>926</v>
      </c>
      <c r="K43" s="1830" t="s">
        <v>917</v>
      </c>
      <c r="L43" s="1833">
        <v>6</v>
      </c>
      <c r="M43" s="1833">
        <v>24</v>
      </c>
      <c r="N43" s="1831">
        <v>43756</v>
      </c>
    </row>
    <row r="44" spans="1:14">
      <c r="A44" s="1830" t="s">
        <v>1719</v>
      </c>
      <c r="B44" s="1835">
        <v>63</v>
      </c>
      <c r="C44" s="1834">
        <v>43741</v>
      </c>
      <c r="D44" s="1834">
        <v>43741</v>
      </c>
      <c r="E44" s="1839" t="s">
        <v>177</v>
      </c>
      <c r="F44" s="1830" t="s">
        <v>719</v>
      </c>
      <c r="G44" s="1836" t="s">
        <v>916</v>
      </c>
      <c r="H44" s="1832">
        <v>479</v>
      </c>
      <c r="I44" s="1837">
        <v>479</v>
      </c>
      <c r="J44" s="1832"/>
      <c r="K44" s="1840" t="s">
        <v>917</v>
      </c>
      <c r="L44" s="1833">
        <v>26</v>
      </c>
      <c r="M44" s="1833">
        <v>104</v>
      </c>
      <c r="N44" s="1831">
        <v>43756</v>
      </c>
    </row>
    <row r="45" spans="1:14">
      <c r="A45" s="1830" t="s">
        <v>1719</v>
      </c>
      <c r="B45" s="1835">
        <v>63</v>
      </c>
      <c r="C45" s="1834">
        <v>43741</v>
      </c>
      <c r="D45" s="1834">
        <v>43741</v>
      </c>
      <c r="E45" s="1830" t="s">
        <v>159</v>
      </c>
      <c r="F45" s="1830" t="s">
        <v>719</v>
      </c>
      <c r="G45" s="1836" t="s">
        <v>918</v>
      </c>
      <c r="H45" s="1832">
        <v>316</v>
      </c>
      <c r="I45" s="1837">
        <v>316</v>
      </c>
      <c r="J45" s="1832"/>
      <c r="K45" s="1830" t="s">
        <v>917</v>
      </c>
      <c r="L45" s="1833">
        <v>6</v>
      </c>
      <c r="M45" s="1833">
        <v>24</v>
      </c>
      <c r="N45" s="1831">
        <v>43756</v>
      </c>
    </row>
    <row r="46" spans="1:14">
      <c r="A46" s="1827"/>
      <c r="B46" s="1824"/>
      <c r="C46" s="1823"/>
      <c r="D46" s="1823"/>
      <c r="E46" s="1819"/>
      <c r="F46" s="1819"/>
      <c r="G46" s="1825"/>
      <c r="H46" s="1821"/>
      <c r="I46" s="1826"/>
      <c r="J46" s="1821"/>
      <c r="K46" s="1819"/>
      <c r="L46" s="1822"/>
      <c r="M46" s="1822"/>
      <c r="N46" s="1820"/>
    </row>
    <row r="47" spans="1:14">
      <c r="A47" s="1827"/>
      <c r="B47" s="1824"/>
      <c r="C47" s="1823"/>
      <c r="D47" s="1823"/>
      <c r="E47" s="1819"/>
      <c r="F47" s="1819"/>
      <c r="G47" s="1825"/>
      <c r="H47" s="1821"/>
      <c r="I47" s="1826"/>
      <c r="J47" s="1821"/>
      <c r="K47" s="1819"/>
      <c r="L47" s="1822"/>
      <c r="M47" s="1822"/>
      <c r="N47" s="1820"/>
    </row>
    <row r="48" spans="1:14">
      <c r="A48" s="505"/>
      <c r="B48" s="507"/>
      <c r="C48" s="506"/>
      <c r="D48" s="506"/>
      <c r="E48" s="505"/>
      <c r="F48" s="45">
        <v>43637</v>
      </c>
      <c r="G48" s="1241">
        <v>43664</v>
      </c>
      <c r="H48" s="45">
        <v>43691</v>
      </c>
      <c r="I48" s="45">
        <v>43720</v>
      </c>
      <c r="J48" s="45">
        <v>43741</v>
      </c>
      <c r="K48" s="505"/>
      <c r="L48" s="1049"/>
      <c r="M48" s="1049"/>
      <c r="N48" s="566"/>
    </row>
    <row r="49" spans="1:16">
      <c r="D49" s="506"/>
      <c r="E49" s="505" t="s">
        <v>9</v>
      </c>
      <c r="F49" s="1112" t="s">
        <v>28</v>
      </c>
      <c r="G49" s="1112" t="s">
        <v>28</v>
      </c>
      <c r="H49" s="1112" t="s">
        <v>28</v>
      </c>
      <c r="I49" s="1112" t="s">
        <v>28</v>
      </c>
      <c r="J49" s="1112" t="s">
        <v>28</v>
      </c>
      <c r="L49" s="1832"/>
    </row>
    <row r="50" spans="1:16">
      <c r="A50" s="45"/>
      <c r="B50" s="507"/>
      <c r="C50" s="506"/>
      <c r="E50" s="1027">
        <v>36</v>
      </c>
      <c r="F50" s="1122">
        <v>288</v>
      </c>
      <c r="G50" s="1112">
        <v>944</v>
      </c>
      <c r="H50" s="1112">
        <v>319</v>
      </c>
      <c r="I50" s="1112">
        <v>237</v>
      </c>
      <c r="J50" s="1784">
        <v>424</v>
      </c>
      <c r="L50" s="1832"/>
      <c r="N50" s="566"/>
      <c r="O50" s="228"/>
    </row>
    <row r="51" spans="1:16">
      <c r="A51" s="45"/>
      <c r="B51" s="489"/>
      <c r="C51" s="490"/>
      <c r="E51" s="1027">
        <v>37</v>
      </c>
      <c r="F51" s="1122">
        <v>335</v>
      </c>
      <c r="G51" s="1112">
        <v>345</v>
      </c>
      <c r="H51" s="1112">
        <v>244</v>
      </c>
      <c r="I51" s="1112">
        <v>262</v>
      </c>
      <c r="J51" s="1784">
        <v>300</v>
      </c>
      <c r="L51" s="1832"/>
    </row>
    <row r="52" spans="1:16">
      <c r="A52" s="490"/>
      <c r="B52" s="489"/>
      <c r="C52" s="490"/>
      <c r="E52" s="1027">
        <v>63</v>
      </c>
      <c r="F52" s="1122">
        <v>215</v>
      </c>
      <c r="G52" s="1112">
        <v>228</v>
      </c>
      <c r="H52" s="1112">
        <v>478</v>
      </c>
      <c r="I52" s="1112">
        <v>4581</v>
      </c>
      <c r="J52" s="1784">
        <v>479</v>
      </c>
      <c r="L52" s="1832"/>
      <c r="N52" s="507"/>
      <c r="O52" s="505"/>
      <c r="P52" s="227"/>
    </row>
    <row r="53" spans="1:16">
      <c r="A53" s="490"/>
      <c r="B53" s="489"/>
      <c r="C53" s="490"/>
      <c r="E53" s="1027">
        <v>76</v>
      </c>
      <c r="F53" s="1122">
        <v>866</v>
      </c>
      <c r="G53" s="1112">
        <v>549</v>
      </c>
      <c r="H53" s="535">
        <v>365</v>
      </c>
      <c r="I53" s="1112"/>
      <c r="L53" s="1832"/>
      <c r="N53" s="507"/>
      <c r="O53" s="505"/>
      <c r="P53" s="227"/>
    </row>
    <row r="54" spans="1:16">
      <c r="A54" s="490"/>
      <c r="B54" s="489"/>
      <c r="C54" s="490"/>
      <c r="E54" s="1027">
        <v>95</v>
      </c>
      <c r="F54" s="1122">
        <v>386</v>
      </c>
      <c r="G54" s="1112">
        <v>114</v>
      </c>
      <c r="H54" s="535">
        <v>90</v>
      </c>
      <c r="I54" s="1112">
        <v>26</v>
      </c>
      <c r="L54" s="1832"/>
    </row>
    <row r="55" spans="1:16">
      <c r="E55" s="227"/>
      <c r="F55" s="1112" t="s">
        <v>27</v>
      </c>
      <c r="G55" s="1112" t="s">
        <v>27</v>
      </c>
      <c r="H55" s="1112" t="s">
        <v>27</v>
      </c>
      <c r="I55" s="1112" t="s">
        <v>27</v>
      </c>
      <c r="J55" s="1112" t="s">
        <v>27</v>
      </c>
      <c r="K55" s="163"/>
      <c r="L55" s="1832"/>
      <c r="M55" s="176"/>
    </row>
    <row r="56" spans="1:16">
      <c r="A56" s="490"/>
      <c r="B56" s="489"/>
      <c r="C56" s="486"/>
      <c r="D56" s="486"/>
      <c r="E56" s="1027">
        <v>36</v>
      </c>
      <c r="F56" s="1120">
        <v>11</v>
      </c>
      <c r="G56" s="1112">
        <v>255</v>
      </c>
      <c r="H56" s="1112">
        <v>14</v>
      </c>
      <c r="I56" s="1120">
        <v>6</v>
      </c>
      <c r="J56" s="227">
        <v>49</v>
      </c>
      <c r="K56" s="227"/>
      <c r="L56" s="1832"/>
      <c r="M56" s="174"/>
    </row>
    <row r="57" spans="1:16">
      <c r="A57" s="490"/>
      <c r="B57" s="489"/>
      <c r="C57" s="486"/>
      <c r="D57" s="486"/>
      <c r="E57" s="1027">
        <v>37</v>
      </c>
      <c r="F57" s="1120">
        <v>18</v>
      </c>
      <c r="G57" s="1112">
        <v>17</v>
      </c>
      <c r="H57" s="1112">
        <v>6</v>
      </c>
      <c r="I57" s="1120">
        <v>6</v>
      </c>
      <c r="J57" s="227">
        <v>11</v>
      </c>
      <c r="K57" s="163"/>
      <c r="L57" s="1832"/>
      <c r="M57" s="174"/>
    </row>
    <row r="58" spans="1:16">
      <c r="A58" s="490"/>
      <c r="B58" s="489"/>
      <c r="C58" s="486"/>
      <c r="D58" s="486"/>
      <c r="E58" s="1027">
        <v>63</v>
      </c>
      <c r="F58" s="1120">
        <v>46</v>
      </c>
      <c r="G58" s="1112">
        <v>203</v>
      </c>
      <c r="H58" s="535">
        <v>409</v>
      </c>
      <c r="I58" s="1120">
        <v>4709</v>
      </c>
      <c r="J58" s="227">
        <v>316</v>
      </c>
      <c r="K58" s="227"/>
      <c r="L58" s="1832"/>
      <c r="M58" s="174"/>
    </row>
    <row r="59" spans="1:16">
      <c r="A59" s="490"/>
      <c r="B59" s="489"/>
      <c r="C59" s="486"/>
      <c r="D59" s="486"/>
      <c r="E59" s="1027">
        <v>76</v>
      </c>
      <c r="F59" s="1120">
        <v>30</v>
      </c>
      <c r="G59" s="1112">
        <v>34</v>
      </c>
      <c r="H59" s="535">
        <v>15</v>
      </c>
      <c r="I59" s="1120"/>
      <c r="J59" s="227"/>
      <c r="K59" s="163"/>
      <c r="L59" s="176"/>
      <c r="M59" s="176"/>
      <c r="N59" s="175"/>
    </row>
    <row r="60" spans="1:16">
      <c r="A60" s="490"/>
      <c r="B60" s="489"/>
      <c r="C60" s="486"/>
      <c r="D60" s="486"/>
      <c r="E60" s="1027">
        <v>95</v>
      </c>
      <c r="F60" s="1120">
        <v>14</v>
      </c>
      <c r="G60" s="1112">
        <v>115</v>
      </c>
      <c r="H60" s="535">
        <v>9</v>
      </c>
      <c r="I60" s="452">
        <v>16</v>
      </c>
      <c r="J60" s="227"/>
      <c r="K60" s="227"/>
      <c r="L60" s="174"/>
      <c r="M60" s="174"/>
      <c r="N60" s="175"/>
    </row>
    <row r="61" spans="1:16">
      <c r="A61" s="490"/>
      <c r="B61" s="489"/>
      <c r="C61" s="486"/>
      <c r="D61" s="486"/>
      <c r="E61" s="507"/>
      <c r="F61" s="1051"/>
      <c r="G61" s="507"/>
      <c r="H61" s="505"/>
      <c r="J61" s="227"/>
      <c r="K61" s="163"/>
      <c r="L61" s="174"/>
      <c r="M61" s="174"/>
      <c r="N61" s="175"/>
    </row>
    <row r="62" spans="1:16">
      <c r="A62" s="490"/>
      <c r="B62" s="489"/>
      <c r="C62" s="486"/>
      <c r="D62" s="486"/>
      <c r="E62" s="507"/>
      <c r="F62" s="1051"/>
      <c r="G62" s="505"/>
      <c r="H62" s="505"/>
      <c r="J62" s="227"/>
      <c r="K62" s="227"/>
      <c r="L62" s="174"/>
      <c r="M62" s="174"/>
      <c r="N62" s="175"/>
    </row>
    <row r="63" spans="1:16">
      <c r="A63" s="490"/>
      <c r="B63" s="489"/>
      <c r="C63" s="486"/>
      <c r="D63" s="486"/>
      <c r="E63" s="507"/>
      <c r="F63" s="1051"/>
      <c r="G63" s="507"/>
      <c r="H63" s="505"/>
      <c r="J63" s="227"/>
      <c r="K63" s="163"/>
      <c r="L63" s="176"/>
      <c r="M63" s="176"/>
      <c r="N63" s="175"/>
    </row>
    <row r="64" spans="1:16">
      <c r="A64" s="227"/>
      <c r="B64" s="228"/>
      <c r="C64" s="92"/>
      <c r="D64" s="92"/>
      <c r="E64" s="507"/>
      <c r="F64" s="1051"/>
      <c r="G64" s="505"/>
      <c r="H64" s="505"/>
      <c r="J64" s="227"/>
      <c r="K64" s="227"/>
      <c r="L64" s="174"/>
      <c r="M64" s="174"/>
      <c r="N64" s="175"/>
    </row>
    <row r="65" spans="1:14">
      <c r="A65" s="227"/>
      <c r="B65" s="228"/>
      <c r="C65" s="92"/>
      <c r="D65" s="92"/>
      <c r="E65" s="507"/>
      <c r="F65" s="1051"/>
      <c r="G65" s="507"/>
      <c r="H65" s="505"/>
      <c r="J65" s="227"/>
      <c r="K65" s="163"/>
      <c r="L65" s="174"/>
      <c r="M65" s="174"/>
      <c r="N65" s="175"/>
    </row>
    <row r="66" spans="1:14">
      <c r="A66" s="227"/>
      <c r="B66" s="228"/>
      <c r="C66" s="92"/>
      <c r="D66" s="92"/>
      <c r="E66" s="507"/>
      <c r="F66" s="1051"/>
      <c r="G66" s="505"/>
      <c r="H66" s="505"/>
      <c r="J66" s="227"/>
      <c r="K66" s="227"/>
      <c r="L66" s="174"/>
      <c r="M66" s="174"/>
      <c r="N66" s="175"/>
    </row>
    <row r="67" spans="1:14">
      <c r="A67" s="227"/>
      <c r="B67" s="228"/>
      <c r="C67" s="92"/>
      <c r="D67" s="92"/>
      <c r="E67" s="175"/>
      <c r="F67" s="464"/>
      <c r="J67" s="227"/>
      <c r="K67" s="163"/>
      <c r="L67" s="176"/>
      <c r="M67" s="176"/>
      <c r="N67" s="175"/>
    </row>
    <row r="68" spans="1:14">
      <c r="A68" s="227"/>
      <c r="B68" s="228"/>
      <c r="C68" s="92"/>
      <c r="D68" s="92"/>
      <c r="E68" s="507"/>
      <c r="F68" s="1051"/>
      <c r="G68" s="507"/>
      <c r="H68" s="505"/>
      <c r="J68" s="227"/>
      <c r="K68" s="227"/>
      <c r="L68" s="174"/>
      <c r="M68" s="174"/>
      <c r="N68" s="175"/>
    </row>
    <row r="69" spans="1:14">
      <c r="A69" s="227"/>
      <c r="B69" s="228"/>
      <c r="C69" s="92"/>
      <c r="D69" s="92"/>
      <c r="E69" s="507"/>
      <c r="F69" s="1051"/>
      <c r="G69" s="505"/>
      <c r="H69" s="505"/>
      <c r="J69" s="234"/>
      <c r="K69" s="227"/>
      <c r="L69" s="174"/>
      <c r="M69" s="174"/>
      <c r="N69" s="175"/>
    </row>
    <row r="70" spans="1:14">
      <c r="A70" s="227"/>
      <c r="B70" s="228"/>
      <c r="C70" s="92"/>
      <c r="D70" s="92"/>
      <c r="E70" s="507"/>
      <c r="F70" s="1051"/>
      <c r="G70" s="507"/>
      <c r="H70" s="505"/>
      <c r="J70" s="234"/>
      <c r="K70" s="227"/>
      <c r="L70" s="174"/>
      <c r="M70" s="174"/>
      <c r="N70" s="175"/>
    </row>
    <row r="71" spans="1:14">
      <c r="A71" s="227"/>
      <c r="B71" s="228"/>
      <c r="C71" s="92"/>
      <c r="D71" s="92"/>
      <c r="E71" s="507"/>
      <c r="F71" s="1051"/>
      <c r="G71" s="505"/>
      <c r="H71" s="505"/>
      <c r="J71" s="227"/>
      <c r="K71" s="227"/>
      <c r="L71" s="176"/>
      <c r="M71" s="176"/>
      <c r="N71" s="175"/>
    </row>
    <row r="72" spans="1:14">
      <c r="A72" s="227"/>
      <c r="B72" s="228"/>
      <c r="C72" s="92"/>
      <c r="D72" s="92"/>
      <c r="E72" s="507"/>
      <c r="F72" s="1051"/>
      <c r="G72" s="507"/>
      <c r="H72" s="505"/>
      <c r="J72" s="234"/>
      <c r="K72" s="227"/>
      <c r="L72" s="174"/>
      <c r="M72" s="174"/>
      <c r="N72" s="175"/>
    </row>
    <row r="73" spans="1:14">
      <c r="A73" s="227"/>
      <c r="B73" s="234"/>
      <c r="C73" s="92"/>
      <c r="D73" s="92"/>
      <c r="E73" s="507"/>
      <c r="F73" s="1051"/>
      <c r="G73" s="505"/>
      <c r="H73" s="505"/>
      <c r="J73" s="234"/>
      <c r="K73" s="227"/>
      <c r="L73" s="232"/>
      <c r="M73" s="232"/>
      <c r="N73" s="1224"/>
    </row>
    <row r="74" spans="1:14">
      <c r="A74" s="234"/>
      <c r="B74" s="228"/>
      <c r="C74" s="92"/>
      <c r="D74" s="92"/>
      <c r="E74" s="507"/>
      <c r="F74" s="1051"/>
      <c r="G74" s="507"/>
      <c r="H74" s="505"/>
      <c r="J74" s="227"/>
      <c r="K74" s="163"/>
      <c r="L74" s="174"/>
      <c r="M74" s="174"/>
      <c r="N74" s="175"/>
    </row>
    <row r="75" spans="1:14">
      <c r="A75" s="234"/>
      <c r="B75" s="228"/>
      <c r="C75" s="92"/>
      <c r="D75" s="92"/>
      <c r="E75" s="507"/>
      <c r="F75" s="1051"/>
      <c r="G75" s="505"/>
      <c r="H75" s="505"/>
      <c r="J75" s="227"/>
      <c r="K75" s="227"/>
      <c r="L75" s="174"/>
      <c r="M75" s="174"/>
      <c r="N75" s="175"/>
    </row>
    <row r="76" spans="1:14">
      <c r="A76" s="234"/>
      <c r="B76" s="228"/>
      <c r="C76" s="92"/>
      <c r="D76" s="92"/>
      <c r="J76" s="227"/>
      <c r="K76" s="163"/>
      <c r="L76" s="176"/>
      <c r="M76" s="176"/>
      <c r="N76" s="175"/>
    </row>
    <row r="77" spans="1:14">
      <c r="A77" s="234"/>
      <c r="B77" s="228"/>
      <c r="C77" s="92"/>
      <c r="D77" s="92"/>
      <c r="J77" s="227"/>
      <c r="K77" s="227"/>
      <c r="L77" s="174"/>
      <c r="M77" s="174"/>
      <c r="N77" s="175"/>
    </row>
    <row r="78" spans="1:14">
      <c r="A78" s="227"/>
      <c r="B78" s="228"/>
      <c r="C78" s="92"/>
      <c r="D78" s="92"/>
      <c r="J78" s="227"/>
      <c r="K78" s="163"/>
      <c r="L78" s="174"/>
      <c r="M78" s="174"/>
      <c r="N78" s="175"/>
    </row>
    <row r="79" spans="1:14">
      <c r="A79" s="227"/>
      <c r="B79" s="228"/>
      <c r="C79" s="92"/>
      <c r="D79" s="92"/>
      <c r="F79" s="227"/>
      <c r="G79" s="227"/>
      <c r="H79" s="227"/>
      <c r="I79" s="228"/>
      <c r="J79" s="227"/>
      <c r="K79" s="227"/>
      <c r="L79" s="174"/>
      <c r="M79" s="174"/>
      <c r="N79" s="175"/>
    </row>
    <row r="80" spans="1:14">
      <c r="A80" s="227"/>
      <c r="B80" s="228"/>
      <c r="C80" s="92"/>
      <c r="D80" s="92"/>
      <c r="F80" s="227"/>
      <c r="G80" s="227"/>
      <c r="H80" s="227"/>
      <c r="I80" s="228"/>
      <c r="J80" s="227"/>
      <c r="K80" s="163"/>
      <c r="L80" s="176"/>
      <c r="M80" s="176"/>
      <c r="N80" s="175"/>
    </row>
    <row r="81" spans="1:14">
      <c r="A81" s="227"/>
      <c r="B81" s="228"/>
      <c r="C81" s="92"/>
      <c r="D81" s="92"/>
      <c r="F81" s="227"/>
      <c r="G81" s="229"/>
      <c r="H81" s="227"/>
      <c r="I81" s="228"/>
      <c r="J81" s="227"/>
      <c r="K81" s="227"/>
      <c r="L81" s="174"/>
      <c r="M81" s="174"/>
      <c r="N81" s="175"/>
    </row>
    <row r="82" spans="1:14">
      <c r="A82" s="227"/>
      <c r="B82" s="228"/>
      <c r="C82" s="92"/>
      <c r="D82" s="92"/>
      <c r="F82" s="227"/>
      <c r="G82" s="229"/>
      <c r="H82" s="227"/>
      <c r="I82" s="228"/>
      <c r="J82" s="227"/>
      <c r="K82" s="163"/>
      <c r="L82" s="174"/>
      <c r="M82" s="174"/>
      <c r="N82" s="175"/>
    </row>
    <row r="83" spans="1:14">
      <c r="A83" s="227"/>
      <c r="B83" s="228"/>
      <c r="C83" s="92"/>
      <c r="D83" s="92"/>
      <c r="F83" s="227"/>
      <c r="G83" s="227"/>
      <c r="H83" s="227"/>
      <c r="I83" s="228"/>
      <c r="J83" s="227"/>
      <c r="K83" s="227"/>
      <c r="L83" s="174"/>
      <c r="M83" s="174"/>
      <c r="N83" s="175"/>
    </row>
    <row r="84" spans="1:14">
      <c r="A84" s="227"/>
      <c r="B84" s="228"/>
      <c r="C84" s="92"/>
      <c r="D84" s="92"/>
      <c r="F84" s="227"/>
      <c r="G84" s="227"/>
      <c r="H84" s="227"/>
      <c r="I84" s="228"/>
      <c r="J84" s="227"/>
      <c r="K84" s="163"/>
      <c r="L84" s="176"/>
      <c r="M84" s="176"/>
      <c r="N84" s="175"/>
    </row>
    <row r="85" spans="1:14">
      <c r="A85" s="227"/>
      <c r="B85" s="228"/>
      <c r="C85" s="92"/>
      <c r="D85" s="92"/>
      <c r="E85" s="227"/>
      <c r="F85" s="227"/>
      <c r="G85" s="229"/>
      <c r="H85" s="227"/>
      <c r="I85" s="228"/>
      <c r="J85" s="227"/>
      <c r="K85" s="227"/>
      <c r="L85" s="174"/>
      <c r="M85" s="174"/>
      <c r="N85" s="175"/>
    </row>
    <row r="86" spans="1:14">
      <c r="A86" s="227"/>
      <c r="B86" s="228"/>
      <c r="C86" s="92"/>
      <c r="D86" s="92"/>
      <c r="E86" s="228"/>
      <c r="F86" s="227"/>
      <c r="G86" s="229"/>
      <c r="H86" s="227"/>
      <c r="I86" s="228"/>
      <c r="J86" s="227"/>
      <c r="K86" s="163"/>
      <c r="L86" s="174"/>
      <c r="M86" s="174"/>
      <c r="N86" s="175"/>
    </row>
    <row r="87" spans="1:14">
      <c r="A87" s="227"/>
      <c r="B87" s="228"/>
      <c r="C87" s="92"/>
      <c r="D87" s="92"/>
      <c r="E87" s="227"/>
      <c r="F87" s="227"/>
      <c r="G87" s="227"/>
      <c r="H87" s="227"/>
      <c r="I87" s="228"/>
      <c r="J87" s="227"/>
      <c r="K87" s="227"/>
      <c r="L87" s="174"/>
      <c r="M87" s="174"/>
      <c r="N87" s="175"/>
    </row>
    <row r="88" spans="1:14">
      <c r="A88" s="227"/>
      <c r="B88" s="228"/>
      <c r="C88" s="92"/>
      <c r="D88" s="92"/>
      <c r="E88" s="227"/>
      <c r="F88" s="227"/>
      <c r="G88" s="227"/>
      <c r="H88" s="227"/>
      <c r="I88" s="228"/>
      <c r="J88" s="227"/>
      <c r="K88" s="163"/>
      <c r="L88" s="176"/>
      <c r="M88" s="176"/>
      <c r="N88" s="175"/>
    </row>
    <row r="89" spans="1:14">
      <c r="A89" s="227"/>
      <c r="B89" s="228"/>
      <c r="C89" s="92"/>
      <c r="D89" s="92"/>
      <c r="E89" s="227"/>
      <c r="F89" s="227"/>
      <c r="G89" s="229"/>
      <c r="H89" s="227"/>
      <c r="I89" s="228"/>
      <c r="J89" s="227"/>
      <c r="K89" s="227"/>
      <c r="L89" s="174"/>
      <c r="M89" s="174"/>
      <c r="N89" s="175"/>
    </row>
  </sheetData>
  <pageMargins left="0.7" right="0.7" top="0.75" bottom="0.75" header="0.3" footer="0.3"/>
  <pageSetup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0.59999389629810485"/>
  </sheetPr>
  <dimension ref="B1:AD85"/>
  <sheetViews>
    <sheetView zoomScaleNormal="100" workbookViewId="0">
      <selection activeCell="B58" sqref="B58:H63"/>
    </sheetView>
  </sheetViews>
  <sheetFormatPr defaultRowHeight="16.5" customHeight="1"/>
  <cols>
    <col min="2" max="2" width="21.81640625" bestFit="1" customWidth="1"/>
    <col min="3" max="3" width="8.26953125" bestFit="1" customWidth="1"/>
    <col min="4" max="4" width="8.90625" bestFit="1" customWidth="1"/>
    <col min="5" max="7" width="8.26953125" bestFit="1" customWidth="1"/>
    <col min="9" max="9" width="18.453125" bestFit="1" customWidth="1"/>
    <col min="10" max="10" width="17" bestFit="1" customWidth="1"/>
    <col min="11" max="13" width="8.26953125" bestFit="1" customWidth="1"/>
    <col min="14" max="14" width="8.26953125" customWidth="1"/>
    <col min="15" max="15" width="10.7265625" bestFit="1" customWidth="1"/>
    <col min="16" max="16" width="8" bestFit="1" customWidth="1"/>
    <col min="18" max="18" width="12.81640625" customWidth="1"/>
    <col min="19" max="19" width="10.81640625" customWidth="1"/>
    <col min="23" max="23" width="12" customWidth="1"/>
    <col min="25" max="25" width="4.54296875" bestFit="1" customWidth="1"/>
    <col min="26" max="26" width="15.26953125" customWidth="1"/>
    <col min="27" max="27" width="4.453125" bestFit="1" customWidth="1"/>
    <col min="28" max="28" width="4.54296875" bestFit="1" customWidth="1"/>
    <col min="29" max="29" width="6.453125" bestFit="1" customWidth="1"/>
    <col min="30" max="30" width="4.453125" bestFit="1" customWidth="1"/>
  </cols>
  <sheetData>
    <row r="1" spans="2:30" ht="16.5" customHeight="1">
      <c r="B1" s="613"/>
      <c r="C1" s="106">
        <v>43637</v>
      </c>
      <c r="D1" s="106">
        <v>43664</v>
      </c>
      <c r="E1" s="106">
        <v>43691</v>
      </c>
      <c r="F1" s="106">
        <v>43720</v>
      </c>
      <c r="G1" s="106">
        <v>43741</v>
      </c>
    </row>
    <row r="2" spans="2:30" ht="16.5" customHeight="1">
      <c r="B2" s="98"/>
      <c r="C2" s="2312" t="s">
        <v>1229</v>
      </c>
      <c r="D2" s="2312"/>
      <c r="E2" s="2312"/>
      <c r="F2" s="2312"/>
      <c r="G2" s="2312"/>
      <c r="I2" s="95" t="s">
        <v>9</v>
      </c>
      <c r="J2" s="95" t="s">
        <v>8</v>
      </c>
      <c r="K2" s="1850">
        <v>43637</v>
      </c>
      <c r="L2" s="1850">
        <v>43664</v>
      </c>
      <c r="M2" s="1850">
        <v>43691</v>
      </c>
      <c r="N2" s="1850">
        <v>43720</v>
      </c>
      <c r="O2" s="1850">
        <v>43741</v>
      </c>
      <c r="P2" s="518" t="s">
        <v>15</v>
      </c>
      <c r="R2" s="91" t="s">
        <v>254</v>
      </c>
      <c r="S2" s="2364" t="s">
        <v>578</v>
      </c>
      <c r="T2" s="2364"/>
      <c r="U2" s="2364"/>
      <c r="V2" s="2364"/>
      <c r="W2" s="2364"/>
      <c r="Z2" s="106">
        <v>41899</v>
      </c>
      <c r="AA2" s="91"/>
      <c r="AB2" s="91"/>
      <c r="AC2" s="91"/>
      <c r="AD2" s="91"/>
    </row>
    <row r="3" spans="2:30" ht="16.5" customHeight="1">
      <c r="B3" s="480" t="s">
        <v>134</v>
      </c>
      <c r="C3" s="1842">
        <v>0.38541666666666669</v>
      </c>
      <c r="D3" s="1842">
        <v>0.41666666666666669</v>
      </c>
      <c r="E3" s="1842">
        <v>0.41666666666666669</v>
      </c>
      <c r="F3" s="1842">
        <v>0.4513888888888889</v>
      </c>
      <c r="G3" s="1843">
        <v>0.4375</v>
      </c>
      <c r="I3" s="2354" t="s">
        <v>475</v>
      </c>
      <c r="J3" s="2354"/>
      <c r="K3" s="2354"/>
      <c r="L3" s="2354"/>
      <c r="M3" s="2354"/>
      <c r="N3" s="2354"/>
      <c r="O3" s="2354"/>
      <c r="P3" s="2354"/>
      <c r="R3" s="91" t="s">
        <v>255</v>
      </c>
      <c r="S3" s="2359" t="s">
        <v>579</v>
      </c>
      <c r="T3" s="2359"/>
      <c r="U3" s="2359"/>
      <c r="V3" s="2359"/>
      <c r="W3" s="2359"/>
      <c r="Z3" s="289" t="s">
        <v>9</v>
      </c>
      <c r="AA3" s="289" t="s">
        <v>137</v>
      </c>
      <c r="AB3" s="289" t="s">
        <v>138</v>
      </c>
      <c r="AC3" s="289" t="s">
        <v>135</v>
      </c>
      <c r="AD3" s="289" t="s">
        <v>136</v>
      </c>
    </row>
    <row r="4" spans="2:30" ht="16.5" customHeight="1">
      <c r="B4" s="480" t="s">
        <v>930</v>
      </c>
      <c r="C4" s="1844">
        <v>0.4</v>
      </c>
      <c r="D4" s="1844">
        <v>5.6</v>
      </c>
      <c r="E4" s="1844">
        <v>9.1</v>
      </c>
      <c r="F4" s="1844">
        <v>6.5</v>
      </c>
      <c r="G4" s="602">
        <v>1.2</v>
      </c>
      <c r="H4" s="227"/>
      <c r="I4" s="2355" t="s">
        <v>295</v>
      </c>
      <c r="J4" s="164" t="s">
        <v>476</v>
      </c>
      <c r="K4" s="1047">
        <v>288</v>
      </c>
      <c r="L4" s="444">
        <v>944</v>
      </c>
      <c r="M4" s="444">
        <v>319</v>
      </c>
      <c r="N4" s="444">
        <v>237</v>
      </c>
      <c r="O4" s="1841">
        <v>424</v>
      </c>
      <c r="P4" s="1052">
        <f t="shared" ref="P4:P9" si="0">AVERAGE(K4:O4)</f>
        <v>442.4</v>
      </c>
      <c r="R4" s="91" t="s">
        <v>5</v>
      </c>
      <c r="S4" s="2359" t="s">
        <v>579</v>
      </c>
      <c r="T4" s="2359"/>
      <c r="U4" s="2359"/>
      <c r="V4" s="2359"/>
      <c r="W4" s="2359"/>
      <c r="Z4" s="220" t="s">
        <v>597</v>
      </c>
      <c r="AA4" s="222">
        <v>5.3</v>
      </c>
      <c r="AB4" s="223">
        <v>8.8000000000000007</v>
      </c>
      <c r="AC4" s="224">
        <v>2.58E-2</v>
      </c>
      <c r="AD4" s="223">
        <v>8.36</v>
      </c>
    </row>
    <row r="5" spans="2:30" ht="16.5" customHeight="1">
      <c r="B5" s="98" t="s">
        <v>931</v>
      </c>
      <c r="C5" s="600">
        <v>9.1999999999999993</v>
      </c>
      <c r="D5" s="600">
        <v>10.6</v>
      </c>
      <c r="E5" s="600">
        <v>16.600000000000001</v>
      </c>
      <c r="F5" s="600">
        <v>0.5</v>
      </c>
      <c r="G5" s="1845">
        <v>5.6</v>
      </c>
      <c r="H5" s="227"/>
      <c r="I5" s="2356"/>
      <c r="J5" s="165" t="s">
        <v>477</v>
      </c>
      <c r="K5" s="669">
        <v>11</v>
      </c>
      <c r="L5" s="444">
        <v>255</v>
      </c>
      <c r="M5" s="444">
        <v>14</v>
      </c>
      <c r="N5" s="669">
        <v>6</v>
      </c>
      <c r="O5" s="244">
        <v>49</v>
      </c>
      <c r="P5" s="1052">
        <f t="shared" si="0"/>
        <v>67</v>
      </c>
      <c r="R5" s="91" t="s">
        <v>132</v>
      </c>
      <c r="S5" s="106"/>
      <c r="T5" s="91"/>
      <c r="U5" s="91"/>
      <c r="V5" s="91"/>
      <c r="W5" s="91"/>
      <c r="Z5" s="221" t="s">
        <v>591</v>
      </c>
      <c r="AA5" s="225">
        <v>4.5</v>
      </c>
      <c r="AB5" s="226">
        <v>7.45</v>
      </c>
      <c r="AC5" s="224">
        <v>4.3999999999999997E-2</v>
      </c>
      <c r="AD5" s="223">
        <v>0.89</v>
      </c>
    </row>
    <row r="6" spans="2:30" ht="16.5" customHeight="1">
      <c r="B6" s="480" t="s">
        <v>138</v>
      </c>
      <c r="C6" s="1844">
        <v>8.16</v>
      </c>
      <c r="D6" s="1844">
        <v>8.08</v>
      </c>
      <c r="E6" s="1844">
        <v>8.59</v>
      </c>
      <c r="F6" s="1844">
        <v>7.12</v>
      </c>
      <c r="G6" s="1846">
        <v>7.06</v>
      </c>
      <c r="H6" s="227"/>
      <c r="I6" s="2355" t="s">
        <v>296</v>
      </c>
      <c r="J6" s="164" t="s">
        <v>476</v>
      </c>
      <c r="K6" s="1047">
        <v>335</v>
      </c>
      <c r="L6" s="444">
        <v>345</v>
      </c>
      <c r="M6" s="444">
        <v>244</v>
      </c>
      <c r="N6" s="444">
        <v>262</v>
      </c>
      <c r="O6" s="1841">
        <v>300</v>
      </c>
      <c r="P6" s="1052">
        <f t="shared" si="0"/>
        <v>297.2</v>
      </c>
      <c r="R6" s="95" t="s">
        <v>580</v>
      </c>
      <c r="S6" s="2367" t="s">
        <v>581</v>
      </c>
      <c r="T6" s="2368"/>
      <c r="U6" s="2368"/>
      <c r="V6" s="2368"/>
      <c r="W6" s="2369"/>
      <c r="Z6" s="220" t="s">
        <v>593</v>
      </c>
      <c r="AA6" s="222">
        <v>4.4000000000000004</v>
      </c>
      <c r="AB6" s="223">
        <v>7.12</v>
      </c>
      <c r="AC6" s="224">
        <v>3.9300000000000002E-2</v>
      </c>
      <c r="AD6" s="223">
        <v>1.32</v>
      </c>
    </row>
    <row r="7" spans="2:30" ht="16.5" customHeight="1">
      <c r="B7" s="480" t="s">
        <v>284</v>
      </c>
      <c r="C7" s="602">
        <v>20.8</v>
      </c>
      <c r="D7" s="602">
        <v>22.7</v>
      </c>
      <c r="E7" s="602">
        <v>22.5</v>
      </c>
      <c r="F7" s="602">
        <v>23.6</v>
      </c>
      <c r="G7" s="600">
        <v>24.9</v>
      </c>
      <c r="H7" s="227"/>
      <c r="I7" s="2356"/>
      <c r="J7" s="165" t="s">
        <v>477</v>
      </c>
      <c r="K7" s="669">
        <v>18</v>
      </c>
      <c r="L7" s="444">
        <v>17</v>
      </c>
      <c r="M7" s="444">
        <v>6</v>
      </c>
      <c r="N7" s="669">
        <v>6</v>
      </c>
      <c r="O7" s="244">
        <v>11</v>
      </c>
      <c r="P7" s="1052">
        <f t="shared" si="0"/>
        <v>11.6</v>
      </c>
      <c r="R7" s="98" t="s">
        <v>134</v>
      </c>
      <c r="S7" s="98"/>
      <c r="T7" s="166"/>
      <c r="U7" s="2365" t="s">
        <v>588</v>
      </c>
      <c r="V7" s="2366"/>
      <c r="W7" s="98" t="s">
        <v>739</v>
      </c>
      <c r="Z7" s="220" t="s">
        <v>592</v>
      </c>
      <c r="AA7" s="222">
        <v>4.4000000000000004</v>
      </c>
      <c r="AB7" s="223">
        <v>7.43</v>
      </c>
      <c r="AC7" s="224">
        <v>2.4E-2</v>
      </c>
      <c r="AD7" s="223">
        <v>8</v>
      </c>
    </row>
    <row r="8" spans="2:30" ht="16.5" customHeight="1">
      <c r="B8" s="480" t="s">
        <v>285</v>
      </c>
      <c r="C8" s="1844">
        <v>9.57</v>
      </c>
      <c r="D8" s="1844">
        <v>8.61</v>
      </c>
      <c r="E8" s="1844">
        <v>8.7200000000000006</v>
      </c>
      <c r="F8" s="1844">
        <v>8.91</v>
      </c>
      <c r="G8" s="1847">
        <v>9.4499999999999993</v>
      </c>
      <c r="H8" s="227"/>
      <c r="I8" s="2357" t="s">
        <v>937</v>
      </c>
      <c r="J8" s="164" t="s">
        <v>476</v>
      </c>
      <c r="K8" s="1047">
        <v>215</v>
      </c>
      <c r="L8" s="444">
        <v>228</v>
      </c>
      <c r="M8" s="444">
        <v>478</v>
      </c>
      <c r="N8" s="444">
        <v>4581</v>
      </c>
      <c r="O8" s="1841">
        <v>479</v>
      </c>
      <c r="P8" s="1052">
        <f t="shared" si="0"/>
        <v>1196.2</v>
      </c>
      <c r="R8" s="98" t="s">
        <v>573</v>
      </c>
      <c r="S8" s="2370"/>
      <c r="T8" s="2371"/>
      <c r="U8" s="111" t="s">
        <v>138</v>
      </c>
      <c r="V8" s="111"/>
      <c r="W8" s="98"/>
      <c r="Z8" s="220" t="s">
        <v>594</v>
      </c>
      <c r="AA8" s="222">
        <v>4.5</v>
      </c>
      <c r="AB8" s="223">
        <v>7.19</v>
      </c>
      <c r="AC8" s="224">
        <v>3.5499999999999997E-2</v>
      </c>
      <c r="AD8" s="223">
        <v>1.91</v>
      </c>
    </row>
    <row r="9" spans="2:30" ht="16.5" customHeight="1">
      <c r="B9" s="98"/>
      <c r="C9" s="2312" t="s">
        <v>290</v>
      </c>
      <c r="D9" s="2312"/>
      <c r="E9" s="2312"/>
      <c r="F9" s="2312"/>
      <c r="G9" s="2312"/>
      <c r="H9" s="227"/>
      <c r="I9" s="2358"/>
      <c r="J9" s="165" t="s">
        <v>477</v>
      </c>
      <c r="K9" s="669">
        <v>46</v>
      </c>
      <c r="L9" s="444">
        <v>203</v>
      </c>
      <c r="M9" s="244">
        <v>409</v>
      </c>
      <c r="N9" s="669">
        <v>4709</v>
      </c>
      <c r="O9" s="244">
        <v>316</v>
      </c>
      <c r="P9" s="1052">
        <f t="shared" si="0"/>
        <v>1136.5999999999999</v>
      </c>
      <c r="R9" s="98"/>
      <c r="S9" s="217" t="s">
        <v>587</v>
      </c>
      <c r="T9" s="110" t="s">
        <v>252</v>
      </c>
      <c r="U9" s="111" t="s">
        <v>137</v>
      </c>
      <c r="V9" s="111"/>
      <c r="W9" s="98"/>
      <c r="Z9" s="220" t="s">
        <v>595</v>
      </c>
      <c r="AA9" s="222">
        <v>6.8</v>
      </c>
      <c r="AB9" s="223">
        <v>7.35</v>
      </c>
      <c r="AC9" s="224">
        <v>2.35E-2</v>
      </c>
      <c r="AD9" s="223">
        <v>7.92</v>
      </c>
    </row>
    <row r="10" spans="2:30" ht="16.5" customHeight="1">
      <c r="B10" s="618" t="s">
        <v>134</v>
      </c>
      <c r="C10" s="1842">
        <v>0.40277777777777773</v>
      </c>
      <c r="D10" s="1842">
        <v>0.43055555555555558</v>
      </c>
      <c r="E10" s="1846">
        <v>0.43402777777777773</v>
      </c>
      <c r="F10" s="1846">
        <v>0.4375</v>
      </c>
      <c r="G10" s="1842">
        <v>0.41666666666666669</v>
      </c>
      <c r="H10" s="227"/>
      <c r="I10" s="2374" t="s">
        <v>490</v>
      </c>
      <c r="J10" s="2375"/>
      <c r="K10" s="2375"/>
      <c r="L10" s="2375"/>
      <c r="M10" s="2375"/>
      <c r="N10" s="2375"/>
      <c r="O10" s="2376"/>
      <c r="P10" s="516"/>
      <c r="R10" s="98" t="s">
        <v>582</v>
      </c>
      <c r="S10" s="98"/>
      <c r="T10" s="98"/>
      <c r="U10" s="111" t="s">
        <v>136</v>
      </c>
      <c r="V10" s="111"/>
      <c r="W10" s="98"/>
      <c r="Z10" s="220" t="s">
        <v>596</v>
      </c>
      <c r="AA10" s="222">
        <v>4.5999999999999996</v>
      </c>
      <c r="AB10" s="223">
        <v>7.43</v>
      </c>
      <c r="AC10" s="224">
        <v>2.4E-2</v>
      </c>
      <c r="AD10" s="223">
        <v>6.83</v>
      </c>
    </row>
    <row r="11" spans="2:30" ht="16.5" customHeight="1">
      <c r="B11" s="618" t="s">
        <v>930</v>
      </c>
      <c r="C11" s="1844">
        <v>2.2999999999999998</v>
      </c>
      <c r="D11" s="1844">
        <v>6.1</v>
      </c>
      <c r="E11" s="1844">
        <v>7.4</v>
      </c>
      <c r="F11" s="1844">
        <v>4.2</v>
      </c>
      <c r="G11" s="600">
        <v>0.1</v>
      </c>
      <c r="H11" s="227"/>
      <c r="I11" s="168"/>
      <c r="J11" s="512" t="s">
        <v>262</v>
      </c>
      <c r="K11" s="479" t="s">
        <v>256</v>
      </c>
      <c r="L11" s="479" t="s">
        <v>257</v>
      </c>
      <c r="M11" s="479" t="s">
        <v>72</v>
      </c>
      <c r="N11" s="479" t="s">
        <v>73</v>
      </c>
      <c r="O11" s="479" t="s">
        <v>489</v>
      </c>
      <c r="P11" s="516"/>
      <c r="Q11" s="60"/>
      <c r="R11" s="98" t="s">
        <v>583</v>
      </c>
      <c r="S11" s="98"/>
      <c r="T11" s="98"/>
      <c r="U11" s="111" t="s">
        <v>135</v>
      </c>
      <c r="V11" s="111"/>
      <c r="W11" s="98"/>
    </row>
    <row r="12" spans="2:30" ht="16.5" customHeight="1">
      <c r="B12" s="98" t="s">
        <v>931</v>
      </c>
      <c r="C12" s="600">
        <v>8.6</v>
      </c>
      <c r="D12" s="600">
        <v>9.1999999999999993</v>
      </c>
      <c r="E12" s="600">
        <v>12.8</v>
      </c>
      <c r="F12" s="600">
        <v>1.9</v>
      </c>
      <c r="G12" s="1846">
        <v>4.8</v>
      </c>
      <c r="H12" s="227"/>
      <c r="I12" s="480" t="s">
        <v>485</v>
      </c>
      <c r="J12" s="584">
        <f>(C25*1.93)*30</f>
        <v>142.434</v>
      </c>
      <c r="K12" s="584">
        <f>(D25*1.983)*31</f>
        <v>290.15255999999999</v>
      </c>
      <c r="L12" s="584">
        <f>(E25*1.983)*31</f>
        <v>201.63144</v>
      </c>
      <c r="M12" s="584">
        <f>(F25*1.983)*30</f>
        <v>15.467400000000001</v>
      </c>
      <c r="N12" s="1395">
        <f>(G25*1.983)*31</f>
        <v>51.022590000000001</v>
      </c>
      <c r="O12" s="585">
        <f>SUM(J12:M12)</f>
        <v>649.68539999999996</v>
      </c>
      <c r="Q12" s="60"/>
      <c r="R12" s="2377" t="s">
        <v>584</v>
      </c>
      <c r="S12" s="2378"/>
      <c r="T12" s="2378"/>
      <c r="U12" s="2378"/>
      <c r="V12" s="2378"/>
      <c r="W12" s="2379"/>
    </row>
    <row r="13" spans="2:30" ht="16.5" customHeight="1">
      <c r="B13" s="618" t="s">
        <v>138</v>
      </c>
      <c r="C13" s="1844">
        <v>7.92</v>
      </c>
      <c r="D13" s="1844">
        <v>7.75</v>
      </c>
      <c r="E13" s="1844">
        <v>7.7</v>
      </c>
      <c r="F13" s="1844">
        <v>7.01</v>
      </c>
      <c r="G13" s="1847">
        <v>7.44</v>
      </c>
      <c r="H13" s="227"/>
      <c r="I13" s="480" t="s">
        <v>486</v>
      </c>
      <c r="J13" s="584">
        <f>(C26*1.983)*30</f>
        <v>287.33670000000001</v>
      </c>
      <c r="K13" s="584">
        <f>(D26*1.983)*31</f>
        <v>275.39904000000001</v>
      </c>
      <c r="L13" s="584">
        <f>(E26*1.983)*31</f>
        <v>210.23766000000001</v>
      </c>
      <c r="M13" s="584">
        <f>(F26*1.983)*30</f>
        <v>56.515500000000003</v>
      </c>
      <c r="N13" s="1395">
        <f>(G26*1.983)*31</f>
        <v>23.359740000000002</v>
      </c>
      <c r="O13" s="585">
        <f>SUM(J13:M13)</f>
        <v>829.48890000000006</v>
      </c>
      <c r="P13" s="516"/>
      <c r="Q13" s="60"/>
      <c r="R13" s="98" t="s">
        <v>134</v>
      </c>
      <c r="S13" s="348"/>
      <c r="T13" s="349"/>
      <c r="U13" s="94" t="s">
        <v>573</v>
      </c>
      <c r="V13" s="98"/>
      <c r="W13" s="98"/>
    </row>
    <row r="14" spans="2:30" ht="16.5" customHeight="1">
      <c r="B14" s="618" t="s">
        <v>284</v>
      </c>
      <c r="C14" s="602">
        <v>21.1</v>
      </c>
      <c r="D14" s="602">
        <v>22.3</v>
      </c>
      <c r="E14" s="602">
        <v>23.3</v>
      </c>
      <c r="F14" s="602">
        <v>25</v>
      </c>
      <c r="G14" s="600">
        <v>27.4</v>
      </c>
      <c r="H14" s="227"/>
      <c r="I14" s="480" t="s">
        <v>937</v>
      </c>
      <c r="J14" s="527">
        <f>(C27*1.983)*30</f>
        <v>0.95184000000000002</v>
      </c>
      <c r="K14" s="527">
        <f>(D27*1.983)*30</f>
        <v>0.83286000000000004</v>
      </c>
      <c r="L14" s="527">
        <f>(E27*1.983)*30</f>
        <v>12.73086</v>
      </c>
      <c r="M14" s="527">
        <f>(F27*1.983)*31</f>
        <v>14.138790000000002</v>
      </c>
      <c r="N14" s="527">
        <f>(G27*1.983)*30</f>
        <v>0.59489999999999998</v>
      </c>
      <c r="O14" s="585">
        <f>SUM(J14:M14)</f>
        <v>28.654350000000001</v>
      </c>
      <c r="P14" s="516"/>
      <c r="Q14" s="60"/>
      <c r="R14" s="345" t="s">
        <v>588</v>
      </c>
      <c r="S14" s="2362" t="s">
        <v>739</v>
      </c>
      <c r="T14" s="2363"/>
      <c r="U14" s="98" t="s">
        <v>253</v>
      </c>
      <c r="V14" s="98"/>
      <c r="W14" s="98"/>
    </row>
    <row r="15" spans="2:30" ht="16.5" customHeight="1">
      <c r="B15" s="618" t="s">
        <v>285</v>
      </c>
      <c r="C15" s="1844">
        <v>9.07</v>
      </c>
      <c r="D15" s="1844">
        <v>8.82</v>
      </c>
      <c r="E15" s="1844">
        <v>8.1999999999999993</v>
      </c>
      <c r="F15" s="1844">
        <v>9.26</v>
      </c>
      <c r="G15" s="1847">
        <v>10.210000000000001</v>
      </c>
      <c r="H15" s="227"/>
      <c r="I15" s="2374" t="s">
        <v>488</v>
      </c>
      <c r="J15" s="2375"/>
      <c r="K15" s="2375"/>
      <c r="L15" s="2375"/>
      <c r="M15" s="2375"/>
      <c r="N15" s="2375"/>
      <c r="O15" s="2376"/>
      <c r="R15" s="98"/>
      <c r="S15" s="109" t="s">
        <v>151</v>
      </c>
      <c r="T15" s="110" t="s">
        <v>252</v>
      </c>
    </row>
    <row r="16" spans="2:30" ht="16.5" customHeight="1">
      <c r="B16" s="31"/>
      <c r="C16" s="2386" t="s">
        <v>1230</v>
      </c>
      <c r="D16" s="2386"/>
      <c r="E16" s="2386"/>
      <c r="F16" s="2386"/>
      <c r="G16" s="2386"/>
      <c r="I16" s="480" t="s">
        <v>485</v>
      </c>
      <c r="J16" s="443">
        <f>J12*$I$23*K5</f>
        <v>4.2663256020000002</v>
      </c>
      <c r="K16" s="443">
        <f>K12*$I$23*L5</f>
        <v>201.47178232440001</v>
      </c>
      <c r="L16" s="443">
        <f>L12*$I$23*M5</f>
        <v>7.6865937556800006</v>
      </c>
      <c r="M16" s="443">
        <f>M12*$I$23*O5</f>
        <v>2.0637687798000006</v>
      </c>
      <c r="N16" s="443">
        <f>N12*$I$23*P5</f>
        <v>9.3086123421900009</v>
      </c>
      <c r="O16" s="585">
        <f>SUM(J16:M16)</f>
        <v>215.48847046188001</v>
      </c>
      <c r="P16" s="517"/>
      <c r="R16" s="79">
        <v>2</v>
      </c>
      <c r="S16" s="98"/>
      <c r="T16" s="98"/>
      <c r="U16" s="111" t="s">
        <v>138</v>
      </c>
      <c r="V16" s="111"/>
      <c r="W16" s="216"/>
    </row>
    <row r="17" spans="2:24" ht="16.5" customHeight="1">
      <c r="B17" s="480" t="s">
        <v>134</v>
      </c>
      <c r="C17" s="1842">
        <v>0.3923611111111111</v>
      </c>
      <c r="D17" s="1842">
        <v>0.4201388888888889</v>
      </c>
      <c r="E17" s="1842">
        <v>0.42083333333333334</v>
      </c>
      <c r="F17" s="1842">
        <v>0.4236111111111111</v>
      </c>
      <c r="G17" s="1843">
        <v>0.42499999999999999</v>
      </c>
      <c r="I17" s="480" t="s">
        <v>486</v>
      </c>
      <c r="J17" s="443">
        <f>J13*$I$23*K7</f>
        <v>14.083521013800002</v>
      </c>
      <c r="K17" s="443">
        <f>K13*$I$23*L7</f>
        <v>12.748496960640001</v>
      </c>
      <c r="L17" s="443">
        <f>L13*$I$23*M7</f>
        <v>3.4348628890800006</v>
      </c>
      <c r="M17" s="443">
        <f>M13*$I$23*O7</f>
        <v>1.6928087715000004</v>
      </c>
      <c r="N17" s="443">
        <f>N13*$I$23*P7</f>
        <v>0.73785943543200005</v>
      </c>
      <c r="O17" s="585">
        <f>SUM(J17:M17)</f>
        <v>31.959689635020005</v>
      </c>
      <c r="P17" s="516"/>
      <c r="R17" s="79">
        <v>4</v>
      </c>
      <c r="S17" s="98"/>
      <c r="T17" s="98"/>
      <c r="U17" s="111" t="s">
        <v>137</v>
      </c>
      <c r="V17" s="111"/>
      <c r="W17" s="98"/>
    </row>
    <row r="18" spans="2:24" ht="16.5" customHeight="1">
      <c r="B18" s="480" t="s">
        <v>930</v>
      </c>
      <c r="C18" s="600">
        <v>3.6</v>
      </c>
      <c r="D18" s="600">
        <v>9.8000000000000007</v>
      </c>
      <c r="E18" s="600">
        <v>7.6</v>
      </c>
      <c r="F18" s="600">
        <v>4.2</v>
      </c>
      <c r="G18" s="1845">
        <v>0.1</v>
      </c>
      <c r="I18" s="480" t="s">
        <v>937</v>
      </c>
      <c r="J18" s="443">
        <f>J14*$I$23*K9</f>
        <v>0.11922557472</v>
      </c>
      <c r="K18" s="443">
        <f>K14*$I$23*L9</f>
        <v>0.46037918933999999</v>
      </c>
      <c r="L18" s="443">
        <f>L14*$I$23*M9</f>
        <v>14.178447898020002</v>
      </c>
      <c r="M18" s="443">
        <f>M14*$I$23*O9</f>
        <v>12.165976353720001</v>
      </c>
      <c r="N18" s="443">
        <f>N14*$I$23*P9</f>
        <v>1.8411927748199999</v>
      </c>
      <c r="O18" s="585">
        <f>SUM(J18:M18)</f>
        <v>26.924029015800002</v>
      </c>
      <c r="P18" s="516"/>
      <c r="R18" s="79">
        <v>6</v>
      </c>
      <c r="S18" s="98"/>
      <c r="T18" s="98"/>
      <c r="U18" s="111" t="s">
        <v>136</v>
      </c>
      <c r="V18" s="111"/>
      <c r="W18" s="98"/>
    </row>
    <row r="19" spans="2:24" ht="16.5" customHeight="1">
      <c r="B19" s="98" t="s">
        <v>931</v>
      </c>
      <c r="C19" s="600">
        <v>10.1</v>
      </c>
      <c r="D19" s="600">
        <v>9.1</v>
      </c>
      <c r="E19" s="600">
        <v>10.8</v>
      </c>
      <c r="F19" s="600">
        <v>1.9</v>
      </c>
      <c r="G19" s="1845">
        <v>6.9</v>
      </c>
      <c r="I19" s="2383" t="s">
        <v>487</v>
      </c>
      <c r="J19" s="2384"/>
      <c r="K19" s="2384"/>
      <c r="L19" s="2384"/>
      <c r="M19" s="2384"/>
      <c r="N19" s="2384"/>
      <c r="O19" s="2385"/>
      <c r="P19" s="516"/>
      <c r="R19" s="79">
        <v>8</v>
      </c>
      <c r="S19" s="98"/>
      <c r="T19" s="98"/>
      <c r="U19" s="111" t="s">
        <v>135</v>
      </c>
      <c r="V19" s="111"/>
      <c r="W19" s="98"/>
    </row>
    <row r="20" spans="2:24" ht="16.5" customHeight="1">
      <c r="B20" s="480" t="s">
        <v>138</v>
      </c>
      <c r="C20" s="600">
        <v>8.02</v>
      </c>
      <c r="D20" s="600">
        <v>7.63</v>
      </c>
      <c r="E20" s="600">
        <v>8.1</v>
      </c>
      <c r="F20" s="600">
        <v>7.37</v>
      </c>
      <c r="G20" s="1845">
        <v>7.02</v>
      </c>
      <c r="I20" s="480" t="s">
        <v>485</v>
      </c>
      <c r="J20" s="527">
        <f>J12*$I$23*K4</f>
        <v>111.70016121600001</v>
      </c>
      <c r="K20" s="527">
        <f>K12*$I$23*L4</f>
        <v>745.84063731072001</v>
      </c>
      <c r="L20" s="527">
        <f>L12*$I$23*M4</f>
        <v>175.14452914728002</v>
      </c>
      <c r="M20" s="527">
        <f>M12*$I$23*O4</f>
        <v>17.857917604800004</v>
      </c>
      <c r="N20" s="527">
        <f>N12*$I$23*P4</f>
        <v>61.464628360968</v>
      </c>
      <c r="O20" s="585">
        <f>SUM(J20:M20)</f>
        <v>1050.5432452788</v>
      </c>
      <c r="P20" s="516"/>
      <c r="R20" s="2380" t="s">
        <v>286</v>
      </c>
      <c r="S20" s="2381"/>
      <c r="T20" s="2382"/>
      <c r="U20" s="2380" t="s">
        <v>585</v>
      </c>
      <c r="V20" s="2381"/>
      <c r="W20" s="2382"/>
    </row>
    <row r="21" spans="2:24" ht="16.5" customHeight="1">
      <c r="B21" s="480" t="s">
        <v>284</v>
      </c>
      <c r="C21" s="600">
        <v>29.1</v>
      </c>
      <c r="D21" s="600">
        <v>47.9</v>
      </c>
      <c r="E21" s="600">
        <v>47.4</v>
      </c>
      <c r="F21" s="600">
        <v>41.5</v>
      </c>
      <c r="G21" s="1845">
        <v>57.9</v>
      </c>
      <c r="I21" s="480" t="s">
        <v>486</v>
      </c>
      <c r="J21" s="527">
        <f>J13*$I$23*K6</f>
        <v>262.10997442350003</v>
      </c>
      <c r="K21" s="527">
        <f>K13*$I$23*L6</f>
        <v>258.71949714240003</v>
      </c>
      <c r="L21" s="527">
        <f>L13*$I$23*M6</f>
        <v>139.68442415592003</v>
      </c>
      <c r="M21" s="527">
        <f>M13*$I$23*O6</f>
        <v>46.167511950000012</v>
      </c>
      <c r="N21" s="527">
        <f>N13*$I$23*P6</f>
        <v>18.904467604343999</v>
      </c>
      <c r="O21" s="585">
        <f>SUM(J21:M21)</f>
        <v>706.68140767182024</v>
      </c>
      <c r="R21" s="350" t="s">
        <v>134</v>
      </c>
      <c r="S21" s="346"/>
      <c r="T21" s="347"/>
      <c r="U21" s="350" t="s">
        <v>134</v>
      </c>
      <c r="V21" s="346"/>
      <c r="W21" s="353" t="s">
        <v>738</v>
      </c>
    </row>
    <row r="22" spans="2:24" ht="16.5" customHeight="1">
      <c r="B22" s="480" t="s">
        <v>285</v>
      </c>
      <c r="C22" s="600">
        <v>4.55</v>
      </c>
      <c r="D22" s="600">
        <v>5.49</v>
      </c>
      <c r="E22" s="600">
        <v>3.55</v>
      </c>
      <c r="F22" s="600">
        <v>5.0599999999999996</v>
      </c>
      <c r="G22" s="1845">
        <v>2.5</v>
      </c>
      <c r="I22" s="480" t="s">
        <v>937</v>
      </c>
      <c r="J22" s="527">
        <f>J14*$I$23*K8</f>
        <v>0.5572499688</v>
      </c>
      <c r="K22" s="527">
        <f>K14*$I$23*L8</f>
        <v>0.51707613384000006</v>
      </c>
      <c r="L22" s="527">
        <f>L14*$I$23*M8</f>
        <v>16.570410990840003</v>
      </c>
      <c r="M22" s="527">
        <f>M14*$I$23*O8</f>
        <v>18.441464156430001</v>
      </c>
      <c r="N22" s="527">
        <f>N14*$I$23*P8</f>
        <v>1.9377395717400001</v>
      </c>
      <c r="O22" s="585">
        <f>SUM(J22:M22)</f>
        <v>36.086201249910005</v>
      </c>
      <c r="R22" s="345" t="s">
        <v>588</v>
      </c>
      <c r="S22" s="2362" t="s">
        <v>739</v>
      </c>
      <c r="T22" s="2363"/>
      <c r="U22" s="76" t="s">
        <v>586</v>
      </c>
      <c r="V22" s="346"/>
      <c r="W22" s="355" t="s">
        <v>739</v>
      </c>
      <c r="X22" s="354"/>
    </row>
    <row r="23" spans="2:24" ht="15.5">
      <c r="I23" s="167">
        <v>2.7230000000000002E-3</v>
      </c>
      <c r="R23" s="154" t="s">
        <v>137</v>
      </c>
      <c r="S23" s="38"/>
      <c r="T23" s="38"/>
      <c r="U23" s="215">
        <v>2</v>
      </c>
      <c r="V23" s="38"/>
      <c r="W23" s="38"/>
    </row>
    <row r="24" spans="2:24" ht="18.649999999999999" customHeight="1">
      <c r="B24" s="98"/>
      <c r="C24" s="2312" t="s">
        <v>473</v>
      </c>
      <c r="D24" s="2312"/>
      <c r="E24" s="2312"/>
      <c r="F24" s="2312"/>
      <c r="G24" s="2312"/>
      <c r="R24" s="154" t="s">
        <v>138</v>
      </c>
      <c r="S24" s="38"/>
      <c r="T24" s="38"/>
      <c r="U24" s="37">
        <v>3</v>
      </c>
      <c r="V24" s="31"/>
      <c r="W24" s="31"/>
    </row>
    <row r="25" spans="2:24" ht="15.5">
      <c r="B25" s="480" t="s">
        <v>485</v>
      </c>
      <c r="C25" s="1844">
        <v>2.46</v>
      </c>
      <c r="D25" s="1844">
        <v>4.72</v>
      </c>
      <c r="E25" s="1844">
        <v>3.28</v>
      </c>
      <c r="F25" s="1844">
        <v>0.26</v>
      </c>
      <c r="G25" s="1848">
        <v>0.83</v>
      </c>
      <c r="R25" s="154" t="s">
        <v>135</v>
      </c>
      <c r="S25" s="31"/>
      <c r="T25" s="31"/>
      <c r="U25" s="154" t="s">
        <v>137</v>
      </c>
      <c r="V25" s="38"/>
      <c r="W25" s="38"/>
    </row>
    <row r="26" spans="2:24" ht="15.5">
      <c r="B26" s="480" t="s">
        <v>486</v>
      </c>
      <c r="C26" s="1844">
        <v>4.83</v>
      </c>
      <c r="D26" s="1844">
        <v>4.4800000000000004</v>
      </c>
      <c r="E26" s="1844">
        <v>3.42</v>
      </c>
      <c r="F26" s="1844">
        <v>0.95</v>
      </c>
      <c r="G26" s="1848">
        <v>0.38</v>
      </c>
      <c r="Q26" s="12"/>
      <c r="R26" s="154" t="s">
        <v>136</v>
      </c>
      <c r="S26" s="31"/>
      <c r="T26" s="31"/>
      <c r="U26" s="154" t="s">
        <v>138</v>
      </c>
      <c r="V26" s="38"/>
      <c r="W26" s="38"/>
    </row>
    <row r="27" spans="2:24" ht="14">
      <c r="B27" s="480" t="s">
        <v>937</v>
      </c>
      <c r="C27" s="286">
        <v>1.6E-2</v>
      </c>
      <c r="D27" s="286">
        <v>1.4E-2</v>
      </c>
      <c r="E27" s="286">
        <v>0.214</v>
      </c>
      <c r="F27" s="1053">
        <v>0.23</v>
      </c>
      <c r="G27" s="443">
        <v>0.01</v>
      </c>
      <c r="R27" s="2360" t="s">
        <v>589</v>
      </c>
      <c r="S27" s="2361"/>
      <c r="T27" s="2360" t="s">
        <v>590</v>
      </c>
      <c r="U27" s="2361"/>
      <c r="V27" s="2360" t="s">
        <v>733</v>
      </c>
      <c r="W27" s="2361"/>
    </row>
    <row r="28" spans="2:24" ht="16.5" customHeight="1">
      <c r="B28" s="98"/>
      <c r="C28" s="2312" t="s">
        <v>474</v>
      </c>
      <c r="D28" s="2312"/>
      <c r="E28" s="2312"/>
      <c r="F28" s="2312"/>
      <c r="G28" s="2312"/>
      <c r="R28" s="31" t="s">
        <v>134</v>
      </c>
      <c r="S28" s="31"/>
      <c r="T28" s="31" t="s">
        <v>134</v>
      </c>
      <c r="U28" s="31"/>
      <c r="V28" s="31" t="s">
        <v>134</v>
      </c>
      <c r="W28" s="31"/>
    </row>
    <row r="29" spans="2:24" ht="14">
      <c r="B29" s="480" t="s">
        <v>484</v>
      </c>
      <c r="C29" s="622">
        <v>0.01</v>
      </c>
      <c r="D29" s="622">
        <v>0.02</v>
      </c>
      <c r="E29" s="622">
        <v>0.03</v>
      </c>
      <c r="F29" s="622">
        <v>0.01</v>
      </c>
      <c r="G29" s="478">
        <v>0.03</v>
      </c>
      <c r="R29" s="219" t="s">
        <v>137</v>
      </c>
      <c r="S29" s="352"/>
      <c r="T29" s="219" t="s">
        <v>137</v>
      </c>
      <c r="U29" s="352"/>
      <c r="V29" s="219" t="s">
        <v>137</v>
      </c>
      <c r="W29" s="352"/>
    </row>
    <row r="30" spans="2:24" ht="14">
      <c r="B30" s="480" t="s">
        <v>486</v>
      </c>
      <c r="C30" s="622">
        <v>0.15</v>
      </c>
      <c r="D30" s="622">
        <v>0.1</v>
      </c>
      <c r="E30" s="622">
        <v>0.08</v>
      </c>
      <c r="F30" s="622">
        <v>0.2</v>
      </c>
      <c r="G30" s="478">
        <v>0.8</v>
      </c>
      <c r="R30" s="154" t="s">
        <v>138</v>
      </c>
      <c r="S30" s="31"/>
      <c r="T30" s="154" t="s">
        <v>138</v>
      </c>
      <c r="U30" s="31"/>
      <c r="V30" s="154" t="s">
        <v>138</v>
      </c>
      <c r="W30" s="31"/>
    </row>
    <row r="31" spans="2:24" ht="14">
      <c r="B31" s="98"/>
      <c r="C31" s="2387" t="s">
        <v>483</v>
      </c>
      <c r="D31" s="2387"/>
      <c r="E31" s="2387"/>
      <c r="F31" s="2387"/>
      <c r="G31" s="2387"/>
      <c r="R31" s="154" t="s">
        <v>135</v>
      </c>
      <c r="S31" s="31"/>
      <c r="T31" s="154" t="s">
        <v>135</v>
      </c>
      <c r="U31" s="31"/>
      <c r="V31" s="154" t="s">
        <v>135</v>
      </c>
      <c r="W31" s="31"/>
    </row>
    <row r="32" spans="2:24" ht="14">
      <c r="B32" s="480" t="s">
        <v>484</v>
      </c>
      <c r="C32" s="605">
        <v>0</v>
      </c>
      <c r="D32" s="605">
        <v>1</v>
      </c>
      <c r="E32" s="605">
        <v>1</v>
      </c>
      <c r="F32" s="605">
        <v>1</v>
      </c>
      <c r="G32" s="1396">
        <v>1</v>
      </c>
      <c r="R32" s="154" t="s">
        <v>136</v>
      </c>
      <c r="S32" s="31"/>
      <c r="T32" s="154" t="s">
        <v>136</v>
      </c>
      <c r="U32" s="31"/>
      <c r="V32" s="154" t="s">
        <v>136</v>
      </c>
      <c r="W32" s="31"/>
    </row>
    <row r="33" spans="2:23" ht="14">
      <c r="B33" s="480" t="s">
        <v>486</v>
      </c>
      <c r="C33" s="605">
        <v>0</v>
      </c>
      <c r="D33" s="605">
        <v>5</v>
      </c>
      <c r="E33" s="605">
        <v>2</v>
      </c>
      <c r="F33" s="605">
        <v>3</v>
      </c>
      <c r="G33" s="1396">
        <v>0</v>
      </c>
      <c r="R33" s="2360" t="s">
        <v>735</v>
      </c>
      <c r="S33" s="2361"/>
      <c r="T33" s="2372" t="s">
        <v>737</v>
      </c>
      <c r="U33" s="2373"/>
      <c r="V33" s="2372" t="s">
        <v>734</v>
      </c>
      <c r="W33" s="2373"/>
    </row>
    <row r="34" spans="2:23" ht="16.5" customHeight="1">
      <c r="B34" t="s">
        <v>150</v>
      </c>
      <c r="C34" s="243" t="s">
        <v>151</v>
      </c>
      <c r="D34" s="243" t="s">
        <v>152</v>
      </c>
      <c r="E34" s="243" t="s">
        <v>153</v>
      </c>
      <c r="F34" s="243" t="s">
        <v>932</v>
      </c>
      <c r="J34" s="514"/>
      <c r="K34" s="514"/>
      <c r="L34" s="514"/>
      <c r="M34" s="514"/>
      <c r="N34" s="514"/>
      <c r="O34" s="514"/>
      <c r="P34" s="514"/>
      <c r="R34" s="31" t="s">
        <v>134</v>
      </c>
      <c r="S34" s="31"/>
      <c r="T34" s="31" t="s">
        <v>134</v>
      </c>
      <c r="U34" s="31"/>
      <c r="V34" s="31" t="s">
        <v>134</v>
      </c>
      <c r="W34" s="31"/>
    </row>
    <row r="35" spans="2:23" ht="16.5" customHeight="1">
      <c r="B35" s="120">
        <v>2</v>
      </c>
      <c r="C35" s="119">
        <v>0.2</v>
      </c>
      <c r="D35" s="119">
        <v>0.02</v>
      </c>
      <c r="E35" s="119">
        <f>C35*2</f>
        <v>0.4</v>
      </c>
      <c r="F35" s="7">
        <f>D35*E35</f>
        <v>8.0000000000000002E-3</v>
      </c>
      <c r="J35" s="513"/>
      <c r="K35" s="356"/>
      <c r="L35" s="356"/>
      <c r="M35" s="356"/>
      <c r="N35" s="356"/>
      <c r="O35" s="356"/>
      <c r="R35" s="219" t="s">
        <v>137</v>
      </c>
      <c r="S35" s="31"/>
      <c r="T35" s="219" t="s">
        <v>137</v>
      </c>
      <c r="U35" s="31"/>
      <c r="V35" s="219" t="s">
        <v>137</v>
      </c>
      <c r="W35" s="31"/>
    </row>
    <row r="36" spans="2:23" ht="16.5" customHeight="1">
      <c r="B36" s="121">
        <v>4</v>
      </c>
      <c r="C36" s="5">
        <v>0.53</v>
      </c>
      <c r="D36" s="5">
        <v>0.89</v>
      </c>
      <c r="E36" s="119">
        <f>C36*1.5</f>
        <v>0.79500000000000004</v>
      </c>
      <c r="F36" s="119">
        <f>D36*E36</f>
        <v>0.70755000000000001</v>
      </c>
      <c r="J36" s="513"/>
      <c r="K36" s="356"/>
      <c r="L36" s="356"/>
      <c r="M36" s="356"/>
      <c r="N36" s="356"/>
      <c r="O36" s="356"/>
      <c r="R36" s="154" t="s">
        <v>138</v>
      </c>
      <c r="S36" s="31"/>
      <c r="T36" s="154" t="s">
        <v>138</v>
      </c>
      <c r="U36" s="31"/>
      <c r="V36" s="154" t="s">
        <v>138</v>
      </c>
      <c r="W36" s="31"/>
    </row>
    <row r="37" spans="2:23" ht="16.5" customHeight="1">
      <c r="C37" s="5"/>
      <c r="D37" s="5">
        <v>1.0900000000000001</v>
      </c>
      <c r="E37" s="119">
        <f t="shared" ref="E37" si="1">C37*3</f>
        <v>0</v>
      </c>
      <c r="F37" s="119">
        <f>D37*E37</f>
        <v>0</v>
      </c>
      <c r="J37" s="513"/>
      <c r="K37" s="356"/>
      <c r="L37" s="356"/>
      <c r="M37" s="356"/>
      <c r="N37" s="356"/>
      <c r="O37" s="356"/>
      <c r="P37" s="356"/>
      <c r="R37" s="154" t="s">
        <v>135</v>
      </c>
      <c r="S37" s="31"/>
      <c r="T37" s="154" t="s">
        <v>135</v>
      </c>
      <c r="U37" s="31"/>
      <c r="V37" s="154" t="s">
        <v>135</v>
      </c>
      <c r="W37" s="31"/>
    </row>
    <row r="38" spans="2:23" ht="16.5" customHeight="1">
      <c r="C38" s="5"/>
      <c r="D38" s="5">
        <v>2.2599999999999998</v>
      </c>
      <c r="E38" s="119">
        <f>C38*2</f>
        <v>0</v>
      </c>
      <c r="F38" s="119">
        <f>D38*E38</f>
        <v>0</v>
      </c>
      <c r="J38" s="513"/>
      <c r="K38" s="356"/>
      <c r="L38" s="356"/>
      <c r="M38" s="356"/>
      <c r="N38" s="356"/>
      <c r="O38" s="356"/>
      <c r="R38" s="154" t="s">
        <v>136</v>
      </c>
      <c r="S38" s="31"/>
      <c r="T38" s="154" t="s">
        <v>136</v>
      </c>
      <c r="U38" s="31"/>
      <c r="V38" s="154" t="s">
        <v>136</v>
      </c>
      <c r="W38" s="31"/>
    </row>
    <row r="39" spans="2:23" ht="16.5" customHeight="1">
      <c r="C39" s="5"/>
      <c r="D39" s="5">
        <v>1.2</v>
      </c>
      <c r="E39" s="119">
        <f>C39*2</f>
        <v>0</v>
      </c>
      <c r="F39" s="119">
        <f>D39*E39</f>
        <v>0</v>
      </c>
      <c r="J39" s="515"/>
      <c r="K39" s="515"/>
      <c r="L39" s="515"/>
      <c r="M39" s="515"/>
      <c r="N39" s="515"/>
      <c r="O39" s="515"/>
      <c r="P39" s="515"/>
    </row>
    <row r="40" spans="2:23" ht="16.5" customHeight="1">
      <c r="F40" s="239">
        <f>SUM(F35:F39)</f>
        <v>0.71555000000000002</v>
      </c>
      <c r="J40" s="513"/>
      <c r="K40" s="356"/>
      <c r="L40" s="356"/>
      <c r="M40" s="356"/>
      <c r="N40" s="356"/>
      <c r="O40" s="356"/>
    </row>
    <row r="41" spans="2:23" ht="16.5" customHeight="1">
      <c r="J41" s="513"/>
      <c r="K41" s="356"/>
      <c r="L41" s="356"/>
      <c r="M41" s="356"/>
      <c r="N41" s="356"/>
      <c r="O41" s="356"/>
    </row>
    <row r="42" spans="2:23" ht="16.5" customHeight="1">
      <c r="B42" s="613"/>
      <c r="C42" s="1103">
        <v>43637</v>
      </c>
      <c r="D42" s="1103">
        <v>43664</v>
      </c>
      <c r="E42" s="1103">
        <v>43692</v>
      </c>
      <c r="F42" s="1103">
        <v>43720</v>
      </c>
      <c r="J42" s="513"/>
      <c r="K42" s="356"/>
      <c r="L42" s="356"/>
      <c r="M42" s="356"/>
      <c r="N42" s="356"/>
      <c r="O42" s="356"/>
      <c r="P42" s="356"/>
    </row>
    <row r="43" spans="2:23" ht="16.5" customHeight="1">
      <c r="B43" s="98"/>
      <c r="C43" s="2351" t="s">
        <v>1383</v>
      </c>
      <c r="D43" s="2352"/>
      <c r="E43" s="2352"/>
      <c r="F43" s="2353"/>
      <c r="J43" s="513"/>
      <c r="K43" s="356"/>
      <c r="L43" s="356"/>
      <c r="M43" s="356"/>
      <c r="N43" s="356"/>
      <c r="O43" s="356"/>
    </row>
    <row r="44" spans="2:23" ht="16.5" customHeight="1">
      <c r="B44" s="480" t="s">
        <v>134</v>
      </c>
      <c r="C44" s="619">
        <v>0.40625</v>
      </c>
      <c r="D44" s="1102">
        <v>0.43055555555555558</v>
      </c>
      <c r="E44" s="1102">
        <v>0.44444444444444442</v>
      </c>
      <c r="F44" s="1102" t="s">
        <v>1877</v>
      </c>
    </row>
    <row r="45" spans="2:23" ht="16.5" customHeight="1">
      <c r="B45" s="480" t="s">
        <v>930</v>
      </c>
      <c r="C45" s="288">
        <v>2.5</v>
      </c>
      <c r="D45" s="288">
        <v>8.1</v>
      </c>
      <c r="E45" s="1050">
        <v>7.4</v>
      </c>
      <c r="F45" s="1050"/>
    </row>
    <row r="46" spans="2:23" ht="16.5" customHeight="1">
      <c r="B46" s="98" t="s">
        <v>931</v>
      </c>
      <c r="C46" s="527">
        <v>8.6</v>
      </c>
      <c r="D46" s="527">
        <v>9.8000000000000007</v>
      </c>
      <c r="E46" s="527">
        <v>12.8</v>
      </c>
      <c r="F46" s="527"/>
    </row>
    <row r="47" spans="2:23" ht="16.5" customHeight="1">
      <c r="B47" s="480" t="s">
        <v>138</v>
      </c>
      <c r="C47" s="614">
        <v>7.57</v>
      </c>
      <c r="D47" s="615">
        <v>7.84</v>
      </c>
      <c r="E47" s="615">
        <v>7.79</v>
      </c>
      <c r="F47" s="615"/>
    </row>
    <row r="48" spans="2:23" ht="16.5" customHeight="1">
      <c r="B48" s="480" t="s">
        <v>284</v>
      </c>
      <c r="C48" s="616">
        <v>18.2</v>
      </c>
      <c r="D48" s="617">
        <v>23.4</v>
      </c>
      <c r="E48" s="617">
        <v>24.4</v>
      </c>
      <c r="F48" s="617"/>
    </row>
    <row r="49" spans="2:29" ht="17.5" customHeight="1">
      <c r="B49" s="480" t="s">
        <v>285</v>
      </c>
      <c r="C49" s="614">
        <v>5.71</v>
      </c>
      <c r="D49" s="615">
        <v>7.85</v>
      </c>
      <c r="E49" s="615">
        <v>6.18</v>
      </c>
      <c r="F49" s="615"/>
    </row>
    <row r="50" spans="2:29" ht="16.5" customHeight="1">
      <c r="B50" s="98"/>
      <c r="C50" s="2351" t="s">
        <v>1384</v>
      </c>
      <c r="D50" s="2352"/>
      <c r="E50" s="2352"/>
      <c r="F50" s="2353"/>
    </row>
    <row r="51" spans="2:29" ht="16.5" customHeight="1">
      <c r="B51" s="618" t="s">
        <v>134</v>
      </c>
      <c r="C51" s="619">
        <v>0.41666666666666669</v>
      </c>
      <c r="D51" s="619">
        <v>0.44444444444444442</v>
      </c>
      <c r="E51" s="620">
        <v>0.42083333333333334</v>
      </c>
      <c r="F51" s="620">
        <v>0.44444444444444442</v>
      </c>
      <c r="AB51" s="172"/>
      <c r="AC51" s="171"/>
    </row>
    <row r="52" spans="2:29" ht="16.5" customHeight="1">
      <c r="B52" s="618" t="s">
        <v>930</v>
      </c>
      <c r="C52" s="288">
        <v>4.4000000000000004</v>
      </c>
      <c r="D52" s="288">
        <v>7.8</v>
      </c>
      <c r="E52" s="288">
        <v>7.6</v>
      </c>
      <c r="F52" s="615">
        <v>4.7</v>
      </c>
      <c r="AB52" s="174"/>
      <c r="AC52" s="175"/>
    </row>
    <row r="53" spans="2:29" ht="16.5" customHeight="1">
      <c r="B53" s="98" t="s">
        <v>931</v>
      </c>
      <c r="C53" s="527">
        <v>8.5</v>
      </c>
      <c r="D53" s="527">
        <v>15.3</v>
      </c>
      <c r="E53" s="527">
        <v>10.8</v>
      </c>
      <c r="F53" s="527">
        <v>4.5999999999999996</v>
      </c>
      <c r="AB53" s="174"/>
      <c r="AC53" s="175"/>
    </row>
    <row r="54" spans="2:29" ht="16.5" customHeight="1">
      <c r="B54" s="618" t="s">
        <v>138</v>
      </c>
      <c r="C54" s="288">
        <v>7.62</v>
      </c>
      <c r="D54" s="288">
        <v>7.72</v>
      </c>
      <c r="E54" s="288">
        <v>7.74</v>
      </c>
      <c r="F54" s="615">
        <v>6.85</v>
      </c>
      <c r="AB54" s="176"/>
      <c r="AC54" s="175"/>
    </row>
    <row r="55" spans="2:29" ht="16.5" customHeight="1">
      <c r="B55" s="618" t="s">
        <v>284</v>
      </c>
      <c r="C55" s="621">
        <v>12.6</v>
      </c>
      <c r="D55" s="621">
        <v>6.9</v>
      </c>
      <c r="E55" s="621">
        <v>28.6</v>
      </c>
      <c r="F55" s="617">
        <v>35.9</v>
      </c>
      <c r="AB55" s="174"/>
      <c r="AC55" s="175"/>
    </row>
    <row r="56" spans="2:29" ht="16.5" customHeight="1">
      <c r="B56" s="618" t="s">
        <v>285</v>
      </c>
      <c r="C56" s="288">
        <v>7.64</v>
      </c>
      <c r="D56" s="288">
        <v>5.91</v>
      </c>
      <c r="E56" s="288">
        <v>6.06</v>
      </c>
      <c r="F56" s="615">
        <v>5.0599999999999996</v>
      </c>
      <c r="AB56" s="174"/>
      <c r="AC56" s="175"/>
    </row>
    <row r="57" spans="2:29" ht="16.5" customHeight="1">
      <c r="B57" s="520"/>
      <c r="C57" s="521"/>
      <c r="D57" s="521"/>
      <c r="AB57" s="174"/>
      <c r="AC57" s="175"/>
    </row>
    <row r="58" spans="2:29" ht="16.5" customHeight="1">
      <c r="B58" s="450" t="s">
        <v>9</v>
      </c>
      <c r="C58" s="450" t="s">
        <v>8</v>
      </c>
      <c r="D58" s="1267">
        <v>43259</v>
      </c>
      <c r="E58" s="1267">
        <v>43294</v>
      </c>
      <c r="F58" s="1267">
        <v>43322</v>
      </c>
      <c r="G58" s="1267">
        <v>43356</v>
      </c>
      <c r="H58" s="1268" t="s">
        <v>15</v>
      </c>
      <c r="AB58" s="176"/>
      <c r="AC58" s="175"/>
    </row>
    <row r="59" spans="2:29" ht="16.5" customHeight="1">
      <c r="B59" s="2354" t="s">
        <v>475</v>
      </c>
      <c r="C59" s="2354"/>
      <c r="D59" s="2354"/>
      <c r="E59" s="2354"/>
      <c r="F59" s="2354"/>
      <c r="G59" s="2354"/>
      <c r="H59" s="2354"/>
      <c r="AB59" s="174"/>
      <c r="AC59" s="175"/>
    </row>
    <row r="60" spans="2:29" ht="16.5" customHeight="1">
      <c r="B60" s="2355" t="s">
        <v>1385</v>
      </c>
      <c r="C60" s="1269" t="s">
        <v>476</v>
      </c>
      <c r="D60" s="1986">
        <v>866</v>
      </c>
      <c r="E60" s="1979">
        <v>549</v>
      </c>
      <c r="F60" s="1976">
        <v>365</v>
      </c>
      <c r="G60" s="1979"/>
      <c r="H60" s="1052">
        <f t="shared" ref="H60:H63" si="2">AVERAGE(D60:G60)</f>
        <v>593.33333333333337</v>
      </c>
      <c r="AB60" s="174"/>
      <c r="AC60" s="175"/>
    </row>
    <row r="61" spans="2:29" ht="16.5" customHeight="1">
      <c r="B61" s="2356"/>
      <c r="C61" s="1270" t="s">
        <v>477</v>
      </c>
      <c r="D61" s="1984">
        <v>30</v>
      </c>
      <c r="E61" s="1979">
        <v>34</v>
      </c>
      <c r="F61" s="1976">
        <v>15</v>
      </c>
      <c r="G61" s="1984"/>
      <c r="H61" s="1052">
        <f t="shared" si="2"/>
        <v>26.333333333333332</v>
      </c>
      <c r="AB61" s="174"/>
      <c r="AC61" s="175"/>
    </row>
    <row r="62" spans="2:29" ht="16.5" customHeight="1">
      <c r="B62" s="2355" t="s">
        <v>1386</v>
      </c>
      <c r="C62" s="1269" t="s">
        <v>476</v>
      </c>
      <c r="D62" s="1986">
        <v>386</v>
      </c>
      <c r="E62" s="1979">
        <v>114</v>
      </c>
      <c r="F62" s="1976">
        <v>90</v>
      </c>
      <c r="G62" s="1979">
        <v>26</v>
      </c>
      <c r="H62" s="1052">
        <f t="shared" si="2"/>
        <v>154</v>
      </c>
      <c r="AB62" s="176"/>
      <c r="AC62" s="175"/>
    </row>
    <row r="63" spans="2:29" ht="16.5" customHeight="1">
      <c r="B63" s="2356"/>
      <c r="C63" s="1270" t="s">
        <v>477</v>
      </c>
      <c r="D63" s="1984">
        <v>14</v>
      </c>
      <c r="E63" s="1979">
        <v>115</v>
      </c>
      <c r="F63" s="1976">
        <v>9</v>
      </c>
      <c r="G63" s="1987">
        <v>16</v>
      </c>
      <c r="H63" s="1052">
        <f t="shared" si="2"/>
        <v>38.5</v>
      </c>
      <c r="AB63" s="174"/>
      <c r="AC63" s="175"/>
    </row>
    <row r="64" spans="2:29" ht="16.5" customHeight="1">
      <c r="B64" s="520"/>
      <c r="C64" s="522"/>
      <c r="D64" s="522"/>
      <c r="AB64" s="174"/>
      <c r="AC64" s="175"/>
    </row>
    <row r="65" spans="2:29" ht="16.5" customHeight="1">
      <c r="B65" s="520"/>
      <c r="C65" s="523"/>
      <c r="D65" s="523"/>
      <c r="AB65" s="174"/>
      <c r="AC65" s="175"/>
    </row>
    <row r="66" spans="2:29" ht="16.5" customHeight="1">
      <c r="B66" s="520"/>
      <c r="C66" s="524"/>
      <c r="D66" s="524"/>
      <c r="AB66" s="176"/>
      <c r="AC66" s="175"/>
    </row>
    <row r="67" spans="2:29" ht="16.5" customHeight="1">
      <c r="B67" s="520"/>
      <c r="C67" s="523"/>
      <c r="D67" s="523"/>
      <c r="AB67" s="174"/>
      <c r="AC67" s="175"/>
    </row>
    <row r="68" spans="2:29" ht="16.5" customHeight="1">
      <c r="B68" s="520"/>
      <c r="C68" s="525"/>
      <c r="D68" s="519"/>
      <c r="AB68" s="174"/>
      <c r="AC68" s="175"/>
    </row>
    <row r="69" spans="2:29" ht="16.5" customHeight="1">
      <c r="B69" s="520"/>
      <c r="C69" s="525"/>
      <c r="D69" s="521"/>
      <c r="AB69" s="174"/>
      <c r="AC69" s="175"/>
    </row>
    <row r="70" spans="2:29" ht="16.5" customHeight="1">
      <c r="B70" s="520"/>
      <c r="C70" s="525"/>
      <c r="D70" s="522"/>
      <c r="AB70" s="174"/>
      <c r="AC70" s="175"/>
    </row>
    <row r="71" spans="2:29" ht="16.5" customHeight="1">
      <c r="B71" s="520"/>
      <c r="C71" s="525"/>
      <c r="D71" s="523"/>
      <c r="AB71" s="174"/>
      <c r="AC71" s="175"/>
    </row>
    <row r="72" spans="2:29" ht="16.5" customHeight="1">
      <c r="B72" s="520"/>
      <c r="C72" s="525"/>
      <c r="D72" s="524"/>
      <c r="AB72" s="174"/>
      <c r="AC72" s="175"/>
    </row>
    <row r="73" spans="2:29" ht="16.5" customHeight="1">
      <c r="B73" s="520"/>
      <c r="C73" s="525"/>
      <c r="D73" s="523"/>
      <c r="AB73" s="174"/>
      <c r="AC73" s="175"/>
    </row>
    <row r="74" spans="2:29" ht="16.5" customHeight="1">
      <c r="B74" s="520"/>
      <c r="C74" s="525"/>
      <c r="D74" s="519"/>
    </row>
    <row r="75" spans="2:29" ht="16.5" customHeight="1">
      <c r="B75" s="520"/>
      <c r="C75" s="525"/>
      <c r="D75" s="521"/>
    </row>
    <row r="76" spans="2:29" ht="16.5" customHeight="1">
      <c r="B76" s="520"/>
      <c r="C76" s="525"/>
      <c r="D76" s="522"/>
    </row>
    <row r="77" spans="2:29" ht="16.5" customHeight="1">
      <c r="B77" s="520"/>
      <c r="C77" s="525"/>
      <c r="D77" s="523"/>
    </row>
    <row r="78" spans="2:29" ht="16.5" customHeight="1">
      <c r="B78" s="520"/>
      <c r="C78" s="525"/>
      <c r="D78" s="524"/>
    </row>
    <row r="79" spans="2:29" ht="16.5" customHeight="1">
      <c r="B79" s="520"/>
      <c r="C79" s="525"/>
      <c r="D79" s="523"/>
    </row>
    <row r="80" spans="2:29" ht="16.5" customHeight="1">
      <c r="B80" s="525"/>
      <c r="C80" s="525"/>
      <c r="D80" s="519"/>
    </row>
    <row r="81" spans="2:4" ht="16.5" customHeight="1">
      <c r="B81" s="520"/>
      <c r="C81" s="525"/>
      <c r="D81" s="521"/>
    </row>
    <row r="82" spans="2:4" ht="16.5" customHeight="1">
      <c r="B82" s="520"/>
      <c r="C82" s="525"/>
      <c r="D82" s="522"/>
    </row>
    <row r="83" spans="2:4" ht="16.5" customHeight="1">
      <c r="B83" s="520"/>
      <c r="C83" s="525"/>
      <c r="D83" s="523"/>
    </row>
    <row r="84" spans="2:4" ht="16.5" customHeight="1">
      <c r="B84" s="520"/>
      <c r="C84" s="525"/>
      <c r="D84" s="524"/>
    </row>
    <row r="85" spans="2:4" ht="16.5" customHeight="1">
      <c r="B85" s="520"/>
      <c r="C85" s="525"/>
      <c r="D85" s="523"/>
    </row>
  </sheetData>
  <mergeCells count="35">
    <mergeCell ref="C16:G16"/>
    <mergeCell ref="C24:G24"/>
    <mergeCell ref="C28:G28"/>
    <mergeCell ref="C31:G31"/>
    <mergeCell ref="R33:S33"/>
    <mergeCell ref="T33:U33"/>
    <mergeCell ref="S14:T14"/>
    <mergeCell ref="I10:O10"/>
    <mergeCell ref="R12:W12"/>
    <mergeCell ref="I15:O15"/>
    <mergeCell ref="V33:W33"/>
    <mergeCell ref="R20:T20"/>
    <mergeCell ref="U20:W20"/>
    <mergeCell ref="R27:S27"/>
    <mergeCell ref="T27:U27"/>
    <mergeCell ref="I19:O19"/>
    <mergeCell ref="S3:W3"/>
    <mergeCell ref="S4:W4"/>
    <mergeCell ref="V27:W27"/>
    <mergeCell ref="S22:T22"/>
    <mergeCell ref="S2:W2"/>
    <mergeCell ref="U7:V7"/>
    <mergeCell ref="S6:W6"/>
    <mergeCell ref="S8:T8"/>
    <mergeCell ref="I8:I9"/>
    <mergeCell ref="I6:I7"/>
    <mergeCell ref="I4:I5"/>
    <mergeCell ref="I3:P3"/>
    <mergeCell ref="C2:G2"/>
    <mergeCell ref="C9:G9"/>
    <mergeCell ref="C43:F43"/>
    <mergeCell ref="C50:F50"/>
    <mergeCell ref="B59:H59"/>
    <mergeCell ref="B60:B61"/>
    <mergeCell ref="B62:B63"/>
  </mergeCells>
  <pageMargins left="1" right="0.25" top="0.43" bottom="0.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59999389629810485"/>
  </sheetPr>
  <dimension ref="A1:AZ63"/>
  <sheetViews>
    <sheetView topLeftCell="L16" workbookViewId="0">
      <selection activeCell="AC20" sqref="AC20"/>
    </sheetView>
  </sheetViews>
  <sheetFormatPr defaultRowHeight="14"/>
  <cols>
    <col min="1" max="1" width="18.81640625" customWidth="1"/>
    <col min="2" max="2" width="18.1796875" bestFit="1" customWidth="1"/>
    <col min="3" max="3" width="8.6328125" bestFit="1" customWidth="1"/>
    <col min="4" max="4" width="12.08984375" bestFit="1" customWidth="1"/>
    <col min="5" max="5" width="10" bestFit="1" customWidth="1"/>
    <col min="6" max="6" width="12.08984375" bestFit="1" customWidth="1"/>
    <col min="7" max="7" width="13.1796875" bestFit="1" customWidth="1"/>
    <col min="9" max="9" width="26.81640625" bestFit="1" customWidth="1"/>
    <col min="10" max="11" width="7.81640625" bestFit="1" customWidth="1"/>
    <col min="13" max="13" width="17.1796875" customWidth="1"/>
    <col min="14" max="14" width="18.453125" bestFit="1" customWidth="1"/>
    <col min="15" max="15" width="8.26953125" hidden="1" customWidth="1"/>
    <col min="16" max="16" width="8.1796875" hidden="1" customWidth="1"/>
    <col min="17" max="17" width="8.26953125" hidden="1" customWidth="1"/>
    <col min="18" max="18" width="7.453125" hidden="1" customWidth="1"/>
    <col min="19" max="19" width="8.08984375" hidden="1" customWidth="1"/>
    <col min="20" max="23" width="8.26953125" hidden="1" customWidth="1"/>
    <col min="24" max="25" width="7.453125" bestFit="1" customWidth="1"/>
    <col min="26" max="26" width="8.54296875" customWidth="1"/>
    <col min="27" max="27" width="7.453125" bestFit="1" customWidth="1"/>
    <col min="29" max="29" width="27.36328125" customWidth="1"/>
    <col min="30" max="30" width="18.7265625" bestFit="1" customWidth="1"/>
    <col min="31" max="43" width="7.453125" bestFit="1" customWidth="1"/>
    <col min="44" max="44" width="6.6328125" bestFit="1" customWidth="1"/>
    <col min="45" max="46" width="7.453125" bestFit="1" customWidth="1"/>
    <col min="48" max="52" width="7.453125" bestFit="1" customWidth="1"/>
  </cols>
  <sheetData>
    <row r="1" spans="1:52">
      <c r="A1" s="45">
        <v>41899</v>
      </c>
    </row>
    <row r="2" spans="1:52" ht="36">
      <c r="A2" s="378" t="s">
        <v>766</v>
      </c>
      <c r="B2" s="378" t="s">
        <v>777</v>
      </c>
      <c r="C2" s="378" t="s">
        <v>767</v>
      </c>
      <c r="D2" s="378" t="s">
        <v>768</v>
      </c>
      <c r="E2" s="378" t="s">
        <v>769</v>
      </c>
      <c r="F2" s="378" t="s">
        <v>770</v>
      </c>
      <c r="G2" s="378" t="s">
        <v>771</v>
      </c>
      <c r="I2" s="365" t="s">
        <v>589</v>
      </c>
      <c r="J2" s="363">
        <v>42173</v>
      </c>
      <c r="K2" s="364">
        <v>42201</v>
      </c>
      <c r="M2" s="2396" t="s">
        <v>756</v>
      </c>
      <c r="N2" s="2397"/>
      <c r="O2" s="392">
        <v>41899</v>
      </c>
      <c r="P2" s="391">
        <v>42173</v>
      </c>
      <c r="Q2" s="391">
        <v>42201</v>
      </c>
      <c r="R2" s="376">
        <v>42236</v>
      </c>
      <c r="S2" s="376">
        <v>42264</v>
      </c>
      <c r="T2" s="391">
        <v>42550</v>
      </c>
      <c r="U2" s="391">
        <v>42565</v>
      </c>
      <c r="V2" s="391">
        <v>42600</v>
      </c>
      <c r="W2" s="391">
        <v>42628</v>
      </c>
      <c r="X2" s="1144">
        <v>42915</v>
      </c>
      <c r="Y2" s="1144">
        <v>42930</v>
      </c>
      <c r="Z2" s="1144">
        <v>42962</v>
      </c>
      <c r="AA2" s="1144">
        <v>42990</v>
      </c>
      <c r="AC2" t="s">
        <v>756</v>
      </c>
      <c r="AE2" s="672">
        <v>41899</v>
      </c>
      <c r="AF2" s="672">
        <v>42173</v>
      </c>
      <c r="AG2" s="672">
        <v>42201</v>
      </c>
      <c r="AH2" s="672">
        <v>42236</v>
      </c>
      <c r="AI2" s="672">
        <v>42264</v>
      </c>
      <c r="AJ2" s="672">
        <v>42550</v>
      </c>
      <c r="AK2" s="672">
        <v>42565</v>
      </c>
      <c r="AL2" s="672">
        <v>42600</v>
      </c>
      <c r="AM2" s="672">
        <v>42628</v>
      </c>
      <c r="AN2" s="1144">
        <v>42915</v>
      </c>
      <c r="AO2" s="1144">
        <v>42930</v>
      </c>
      <c r="AP2" s="1144">
        <v>42962</v>
      </c>
      <c r="AQ2" s="1144">
        <v>42990</v>
      </c>
      <c r="AR2" s="1267">
        <v>43259</v>
      </c>
      <c r="AS2" s="1267">
        <v>43294</v>
      </c>
      <c r="AT2" s="1267">
        <v>43322</v>
      </c>
      <c r="AU2" s="1267">
        <v>43356</v>
      </c>
      <c r="AV2" s="672">
        <v>43637</v>
      </c>
      <c r="AW2" s="1849">
        <v>43664</v>
      </c>
      <c r="AX2" s="672">
        <v>43691</v>
      </c>
      <c r="AY2" s="672">
        <v>43720</v>
      </c>
      <c r="AZ2" s="672">
        <v>43741</v>
      </c>
    </row>
    <row r="3" spans="1:52" ht="28">
      <c r="A3" s="379" t="s">
        <v>772</v>
      </c>
      <c r="B3" s="388">
        <v>4.4000000000000004</v>
      </c>
      <c r="C3" s="389">
        <v>7.12</v>
      </c>
      <c r="D3" s="390">
        <v>3.9300000000000002E-2</v>
      </c>
      <c r="E3" s="389">
        <v>1.32</v>
      </c>
      <c r="F3" s="380">
        <v>529</v>
      </c>
      <c r="G3" s="380">
        <v>165</v>
      </c>
      <c r="I3" s="366" t="s">
        <v>134</v>
      </c>
      <c r="J3" s="367">
        <v>0.49305555555555558</v>
      </c>
      <c r="K3" s="367">
        <v>0.39444444444444443</v>
      </c>
      <c r="M3" s="2401" t="s">
        <v>763</v>
      </c>
      <c r="N3" s="393" t="s">
        <v>476</v>
      </c>
      <c r="O3" s="394"/>
      <c r="P3" s="400"/>
      <c r="Q3" s="395">
        <v>185</v>
      </c>
      <c r="AC3" t="s">
        <v>763</v>
      </c>
      <c r="AD3" t="s">
        <v>476</v>
      </c>
      <c r="AG3">
        <v>185</v>
      </c>
    </row>
    <row r="4" spans="1:52" ht="14.5">
      <c r="A4" s="379" t="s">
        <v>773</v>
      </c>
      <c r="B4" s="388">
        <v>4.5</v>
      </c>
      <c r="C4" s="389">
        <v>7.19</v>
      </c>
      <c r="D4" s="390">
        <v>3.5499999999999997E-2</v>
      </c>
      <c r="E4" s="389">
        <v>1.91</v>
      </c>
      <c r="F4" s="380">
        <v>225</v>
      </c>
      <c r="G4" s="380">
        <v>45</v>
      </c>
      <c r="I4" s="366" t="s">
        <v>283</v>
      </c>
      <c r="J4" s="368">
        <v>4.8</v>
      </c>
      <c r="K4" s="368">
        <v>4</v>
      </c>
      <c r="M4" s="2402"/>
      <c r="N4" s="396" t="s">
        <v>477</v>
      </c>
      <c r="O4" s="397"/>
      <c r="P4" s="400"/>
      <c r="Q4" s="395">
        <v>31</v>
      </c>
      <c r="AD4" t="s">
        <v>477</v>
      </c>
      <c r="AG4">
        <v>31</v>
      </c>
    </row>
    <row r="5" spans="1:52" ht="14.5">
      <c r="A5" s="379" t="s">
        <v>774</v>
      </c>
      <c r="B5" s="388">
        <v>4.5999999999999996</v>
      </c>
      <c r="C5" s="389">
        <v>7.43</v>
      </c>
      <c r="D5" s="390">
        <v>2.4E-2</v>
      </c>
      <c r="E5" s="389">
        <v>6.83</v>
      </c>
      <c r="F5" s="380">
        <v>3754</v>
      </c>
      <c r="G5" s="380">
        <v>660</v>
      </c>
      <c r="I5" s="369" t="s">
        <v>138</v>
      </c>
      <c r="J5" s="370">
        <v>7.8</v>
      </c>
      <c r="K5" s="370">
        <v>8.59</v>
      </c>
      <c r="M5" s="2401" t="s">
        <v>757</v>
      </c>
      <c r="N5" s="393" t="s">
        <v>476</v>
      </c>
      <c r="O5" s="398">
        <v>529</v>
      </c>
      <c r="P5" s="395">
        <v>807</v>
      </c>
      <c r="Q5" s="395">
        <v>444</v>
      </c>
      <c r="AC5" t="s">
        <v>757</v>
      </c>
      <c r="AD5" t="s">
        <v>476</v>
      </c>
      <c r="AE5">
        <v>529</v>
      </c>
      <c r="AF5">
        <v>807</v>
      </c>
      <c r="AG5">
        <v>444</v>
      </c>
    </row>
    <row r="6" spans="1:52" ht="14.5">
      <c r="A6" s="379" t="s">
        <v>264</v>
      </c>
      <c r="B6" s="388">
        <v>4.5</v>
      </c>
      <c r="C6" s="389">
        <v>7.19</v>
      </c>
      <c r="D6" s="390">
        <v>3.5499999999999997E-2</v>
      </c>
      <c r="E6" s="389">
        <v>1.91</v>
      </c>
      <c r="F6" s="380">
        <v>529</v>
      </c>
      <c r="G6" s="380">
        <v>165</v>
      </c>
      <c r="I6" s="366" t="s">
        <v>284</v>
      </c>
      <c r="J6" s="371">
        <v>2.1000000000000001E-2</v>
      </c>
      <c r="K6" s="371">
        <v>0.02</v>
      </c>
      <c r="M6" s="2402"/>
      <c r="N6" s="396" t="s">
        <v>477</v>
      </c>
      <c r="O6" s="399">
        <v>165</v>
      </c>
      <c r="P6" s="395">
        <v>112</v>
      </c>
      <c r="Q6" s="395">
        <v>11</v>
      </c>
      <c r="AD6" t="s">
        <v>477</v>
      </c>
      <c r="AE6">
        <v>165</v>
      </c>
      <c r="AF6">
        <v>112</v>
      </c>
      <c r="AG6">
        <v>11</v>
      </c>
    </row>
    <row r="7" spans="1:52" ht="14.5">
      <c r="I7" s="366" t="s">
        <v>285</v>
      </c>
      <c r="J7" s="370">
        <v>8.25</v>
      </c>
      <c r="K7" s="370">
        <v>8.4</v>
      </c>
      <c r="M7" s="2401" t="s">
        <v>758</v>
      </c>
      <c r="N7" s="393" t="s">
        <v>476</v>
      </c>
      <c r="O7" s="398">
        <v>225</v>
      </c>
      <c r="P7" s="395">
        <v>596</v>
      </c>
      <c r="Q7" s="395">
        <v>404</v>
      </c>
      <c r="AC7" t="s">
        <v>758</v>
      </c>
      <c r="AD7" t="s">
        <v>476</v>
      </c>
      <c r="AE7">
        <v>225</v>
      </c>
      <c r="AF7">
        <v>596</v>
      </c>
      <c r="AG7">
        <v>404</v>
      </c>
    </row>
    <row r="8" spans="1:52">
      <c r="A8" s="106">
        <v>41899</v>
      </c>
      <c r="B8" s="91"/>
      <c r="C8" s="91"/>
      <c r="D8" s="91"/>
      <c r="E8" s="91"/>
      <c r="I8" s="365" t="s">
        <v>590</v>
      </c>
      <c r="J8" s="363">
        <v>42173</v>
      </c>
      <c r="K8" s="364">
        <v>42201</v>
      </c>
      <c r="M8" s="2402"/>
      <c r="N8" s="396" t="s">
        <v>477</v>
      </c>
      <c r="O8" s="399">
        <v>45</v>
      </c>
      <c r="P8" s="395">
        <v>35</v>
      </c>
      <c r="Q8" s="395">
        <v>17</v>
      </c>
      <c r="AD8" t="s">
        <v>477</v>
      </c>
      <c r="AE8">
        <v>45</v>
      </c>
      <c r="AF8">
        <v>35</v>
      </c>
      <c r="AG8">
        <v>17</v>
      </c>
    </row>
    <row r="9" spans="1:52" ht="14.5">
      <c r="A9" s="289" t="s">
        <v>9</v>
      </c>
      <c r="B9" s="289" t="s">
        <v>137</v>
      </c>
      <c r="C9" s="289" t="s">
        <v>138</v>
      </c>
      <c r="D9" s="289" t="s">
        <v>135</v>
      </c>
      <c r="E9" s="289" t="s">
        <v>136</v>
      </c>
      <c r="F9" s="381" t="s">
        <v>177</v>
      </c>
      <c r="G9" s="241" t="s">
        <v>775</v>
      </c>
      <c r="I9" s="369" t="s">
        <v>134</v>
      </c>
      <c r="J9" s="367">
        <v>0.48749999999999999</v>
      </c>
      <c r="K9" s="367">
        <v>0.39999999999999997</v>
      </c>
      <c r="M9" s="2401" t="s">
        <v>759</v>
      </c>
      <c r="N9" s="393" t="s">
        <v>476</v>
      </c>
      <c r="O9" s="221">
        <v>3754</v>
      </c>
      <c r="P9" s="308">
        <v>1454</v>
      </c>
      <c r="Q9" s="395">
        <v>282</v>
      </c>
      <c r="T9" s="498">
        <v>402</v>
      </c>
      <c r="U9" s="486"/>
      <c r="X9">
        <v>593</v>
      </c>
      <c r="Y9">
        <v>283</v>
      </c>
      <c r="Z9">
        <v>249</v>
      </c>
      <c r="AA9">
        <v>156</v>
      </c>
      <c r="AC9" t="s">
        <v>759</v>
      </c>
      <c r="AD9" t="s">
        <v>476</v>
      </c>
      <c r="AE9">
        <v>3754</v>
      </c>
      <c r="AF9">
        <v>1454</v>
      </c>
      <c r="AG9">
        <v>282</v>
      </c>
      <c r="AJ9">
        <v>402</v>
      </c>
      <c r="AN9">
        <v>593</v>
      </c>
      <c r="AO9">
        <v>283</v>
      </c>
      <c r="AP9">
        <v>249</v>
      </c>
      <c r="AQ9">
        <v>156</v>
      </c>
      <c r="AR9" s="1047">
        <v>101</v>
      </c>
      <c r="AS9" s="444"/>
      <c r="AT9" s="244"/>
      <c r="AU9" s="444">
        <v>284</v>
      </c>
      <c r="AV9" s="1122">
        <v>866</v>
      </c>
      <c r="AW9" s="1112">
        <v>549</v>
      </c>
      <c r="AX9" s="535">
        <v>365</v>
      </c>
    </row>
    <row r="10" spans="1:52" ht="14.5">
      <c r="A10" s="220" t="s">
        <v>593</v>
      </c>
      <c r="B10" s="382">
        <v>4.4000000000000004</v>
      </c>
      <c r="C10" s="383">
        <v>7.12</v>
      </c>
      <c r="D10" s="384">
        <v>3.9300000000000002E-2</v>
      </c>
      <c r="E10" s="383">
        <v>1.32</v>
      </c>
      <c r="F10" s="244">
        <v>529</v>
      </c>
      <c r="G10" s="244">
        <v>165</v>
      </c>
      <c r="I10" s="369" t="s">
        <v>283</v>
      </c>
      <c r="J10" s="368">
        <v>4.8</v>
      </c>
      <c r="K10" s="368">
        <v>4.0999999999999996</v>
      </c>
      <c r="M10" s="2402"/>
      <c r="N10" s="396" t="s">
        <v>477</v>
      </c>
      <c r="O10" s="399">
        <v>660</v>
      </c>
      <c r="P10" s="395">
        <v>100</v>
      </c>
      <c r="Q10" s="395">
        <v>15</v>
      </c>
      <c r="T10" s="498">
        <v>19</v>
      </c>
      <c r="U10" s="486"/>
      <c r="X10">
        <v>132</v>
      </c>
      <c r="Y10">
        <v>44</v>
      </c>
      <c r="Z10">
        <v>9</v>
      </c>
      <c r="AA10">
        <v>10</v>
      </c>
      <c r="AD10" t="s">
        <v>477</v>
      </c>
      <c r="AE10">
        <v>660</v>
      </c>
      <c r="AF10">
        <v>100</v>
      </c>
      <c r="AG10">
        <v>15</v>
      </c>
      <c r="AJ10">
        <v>19</v>
      </c>
      <c r="AN10">
        <v>132</v>
      </c>
      <c r="AO10">
        <v>44</v>
      </c>
      <c r="AP10">
        <v>9</v>
      </c>
      <c r="AQ10">
        <v>10</v>
      </c>
      <c r="AR10" s="669">
        <v>17</v>
      </c>
      <c r="AS10" s="444"/>
      <c r="AT10" s="244"/>
      <c r="AU10" s="669">
        <v>55</v>
      </c>
      <c r="AV10" s="1120">
        <v>30</v>
      </c>
      <c r="AW10" s="1112">
        <v>34</v>
      </c>
      <c r="AX10" s="535">
        <v>15</v>
      </c>
    </row>
    <row r="11" spans="1:52" ht="14.5">
      <c r="A11" s="220" t="s">
        <v>594</v>
      </c>
      <c r="B11" s="382">
        <v>4.5</v>
      </c>
      <c r="C11" s="383">
        <v>7.19</v>
      </c>
      <c r="D11" s="384">
        <v>3.5499999999999997E-2</v>
      </c>
      <c r="E11" s="383">
        <v>1.91</v>
      </c>
      <c r="F11" s="244">
        <v>225</v>
      </c>
      <c r="G11" s="244">
        <v>45</v>
      </c>
      <c r="I11" s="369" t="s">
        <v>138</v>
      </c>
      <c r="J11" s="370">
        <v>7.75</v>
      </c>
      <c r="K11" s="370">
        <v>8.4600000000000009</v>
      </c>
      <c r="M11" s="2401" t="s">
        <v>761</v>
      </c>
      <c r="N11" s="393" t="s">
        <v>476</v>
      </c>
      <c r="O11" s="394"/>
      <c r="P11" s="400"/>
      <c r="Q11" s="395">
        <v>212</v>
      </c>
      <c r="AC11" t="s">
        <v>761</v>
      </c>
      <c r="AD11" t="s">
        <v>476</v>
      </c>
      <c r="AG11">
        <v>212</v>
      </c>
    </row>
    <row r="12" spans="1:52" ht="14.5">
      <c r="A12" s="220" t="s">
        <v>596</v>
      </c>
      <c r="B12" s="382">
        <v>4.5999999999999996</v>
      </c>
      <c r="C12" s="383">
        <v>7.43</v>
      </c>
      <c r="D12" s="384">
        <v>2.4E-2</v>
      </c>
      <c r="E12" s="383">
        <v>6.83</v>
      </c>
      <c r="F12" s="246">
        <v>3754</v>
      </c>
      <c r="G12" s="244">
        <v>660</v>
      </c>
      <c r="I12" s="369" t="s">
        <v>284</v>
      </c>
      <c r="J12" s="371">
        <v>1.6E-2</v>
      </c>
      <c r="K12" s="371">
        <v>1.9E-2</v>
      </c>
      <c r="M12" s="2402"/>
      <c r="N12" s="396" t="s">
        <v>477</v>
      </c>
      <c r="O12" s="397"/>
      <c r="P12" s="400"/>
      <c r="Q12" s="395">
        <v>17</v>
      </c>
      <c r="AD12" t="s">
        <v>477</v>
      </c>
      <c r="AG12">
        <v>17</v>
      </c>
    </row>
    <row r="13" spans="1:52" ht="14.5">
      <c r="A13" s="360" t="s">
        <v>264</v>
      </c>
      <c r="B13" s="385">
        <f t="shared" ref="B13:G13" si="0">MEDIAN(B10:B12)</f>
        <v>4.5</v>
      </c>
      <c r="C13" s="386">
        <f t="shared" si="0"/>
        <v>7.19</v>
      </c>
      <c r="D13" s="387">
        <f t="shared" si="0"/>
        <v>3.5499999999999997E-2</v>
      </c>
      <c r="E13" s="386">
        <f t="shared" si="0"/>
        <v>1.91</v>
      </c>
      <c r="F13" s="359">
        <f t="shared" si="0"/>
        <v>529</v>
      </c>
      <c r="G13" s="359">
        <f t="shared" si="0"/>
        <v>165</v>
      </c>
      <c r="I13" s="369" t="s">
        <v>285</v>
      </c>
      <c r="J13" s="370">
        <v>8.75</v>
      </c>
      <c r="K13" s="370">
        <v>12.12</v>
      </c>
      <c r="M13" s="2401" t="s">
        <v>762</v>
      </c>
      <c r="N13" s="393" t="s">
        <v>476</v>
      </c>
      <c r="O13" s="394"/>
      <c r="P13" s="400"/>
      <c r="Q13" s="395">
        <v>365</v>
      </c>
      <c r="AC13" t="s">
        <v>762</v>
      </c>
      <c r="AD13" t="s">
        <v>476</v>
      </c>
      <c r="AG13">
        <v>365</v>
      </c>
    </row>
    <row r="14" spans="1:52">
      <c r="I14" s="375" t="s">
        <v>759</v>
      </c>
      <c r="J14" s="363">
        <v>42173</v>
      </c>
      <c r="K14" s="364">
        <v>42201</v>
      </c>
      <c r="M14" s="2402"/>
      <c r="N14" s="396" t="s">
        <v>477</v>
      </c>
      <c r="O14" s="397"/>
      <c r="P14" s="400"/>
      <c r="Q14" s="395">
        <v>20</v>
      </c>
      <c r="AD14" t="s">
        <v>477</v>
      </c>
      <c r="AG14">
        <v>20</v>
      </c>
    </row>
    <row r="15" spans="1:52" ht="14.5">
      <c r="I15" s="369" t="s">
        <v>134</v>
      </c>
      <c r="J15" s="367">
        <v>0.5</v>
      </c>
      <c r="K15" s="367">
        <v>0.40833333333333338</v>
      </c>
      <c r="M15" s="2400" t="s">
        <v>937</v>
      </c>
      <c r="N15" s="393" t="s">
        <v>476</v>
      </c>
      <c r="O15" s="358">
        <v>5</v>
      </c>
      <c r="P15" s="358">
        <v>720</v>
      </c>
      <c r="Q15" s="240">
        <v>404</v>
      </c>
      <c r="R15" s="244">
        <v>126</v>
      </c>
      <c r="S15" s="244">
        <v>119</v>
      </c>
      <c r="W15" s="31">
        <v>89</v>
      </c>
      <c r="X15">
        <v>331</v>
      </c>
      <c r="Y15">
        <v>138</v>
      </c>
      <c r="Z15">
        <v>331</v>
      </c>
      <c r="AA15">
        <v>1803</v>
      </c>
      <c r="AC15" t="s">
        <v>937</v>
      </c>
      <c r="AD15" t="s">
        <v>476</v>
      </c>
      <c r="AE15">
        <v>5</v>
      </c>
      <c r="AF15">
        <v>720</v>
      </c>
      <c r="AG15">
        <v>404</v>
      </c>
      <c r="AH15">
        <v>126</v>
      </c>
      <c r="AI15">
        <v>119</v>
      </c>
      <c r="AM15">
        <v>89</v>
      </c>
      <c r="AN15">
        <v>331</v>
      </c>
      <c r="AO15">
        <v>138</v>
      </c>
      <c r="AP15">
        <v>331</v>
      </c>
      <c r="AQ15">
        <v>1803</v>
      </c>
      <c r="AR15" s="1047">
        <v>256</v>
      </c>
      <c r="AS15" s="444">
        <v>3197</v>
      </c>
      <c r="AT15" s="444"/>
      <c r="AU15" s="444">
        <v>1614</v>
      </c>
      <c r="AV15" s="1122">
        <v>215</v>
      </c>
      <c r="AW15" s="1112">
        <v>228</v>
      </c>
      <c r="AX15" s="1112">
        <v>478</v>
      </c>
      <c r="AY15" s="1112">
        <v>4581</v>
      </c>
      <c r="AZ15" s="1784">
        <v>479</v>
      </c>
    </row>
    <row r="16" spans="1:52" ht="14.5">
      <c r="C16" s="376">
        <v>42173</v>
      </c>
      <c r="D16" s="376">
        <v>42201</v>
      </c>
      <c r="E16" s="376">
        <v>42236</v>
      </c>
      <c r="F16" s="376">
        <v>42264</v>
      </c>
      <c r="I16" s="369" t="s">
        <v>283</v>
      </c>
      <c r="J16" s="368">
        <v>3.4</v>
      </c>
      <c r="K16" s="368">
        <v>5.0999999999999996</v>
      </c>
      <c r="M16" s="2400"/>
      <c r="N16" s="396" t="s">
        <v>477</v>
      </c>
      <c r="O16" s="358">
        <v>73</v>
      </c>
      <c r="P16" s="358">
        <v>71</v>
      </c>
      <c r="Q16" s="395">
        <v>318</v>
      </c>
      <c r="R16" s="244">
        <v>406</v>
      </c>
      <c r="S16" s="244">
        <v>116</v>
      </c>
      <c r="W16" s="31">
        <v>242</v>
      </c>
      <c r="X16">
        <v>78</v>
      </c>
      <c r="Y16">
        <v>128</v>
      </c>
      <c r="Z16">
        <v>237</v>
      </c>
      <c r="AA16">
        <v>1794</v>
      </c>
      <c r="AD16" t="s">
        <v>477</v>
      </c>
      <c r="AE16">
        <v>73</v>
      </c>
      <c r="AF16">
        <v>71</v>
      </c>
      <c r="AG16">
        <v>318</v>
      </c>
      <c r="AH16">
        <v>406</v>
      </c>
      <c r="AI16">
        <v>116</v>
      </c>
      <c r="AM16">
        <v>242</v>
      </c>
      <c r="AN16">
        <v>78</v>
      </c>
      <c r="AO16">
        <v>128</v>
      </c>
      <c r="AP16">
        <v>237</v>
      </c>
      <c r="AQ16">
        <v>1794</v>
      </c>
      <c r="AR16" s="669">
        <v>115</v>
      </c>
      <c r="AS16" s="444">
        <v>1492</v>
      </c>
      <c r="AT16" s="244"/>
      <c r="AU16" s="669">
        <v>746</v>
      </c>
      <c r="AV16" s="1120">
        <v>46</v>
      </c>
      <c r="AW16" s="1112">
        <v>203</v>
      </c>
      <c r="AX16" s="535">
        <v>409</v>
      </c>
      <c r="AY16" s="1120">
        <v>4709</v>
      </c>
      <c r="AZ16" s="227">
        <v>316</v>
      </c>
    </row>
    <row r="17" spans="1:51" ht="14.5">
      <c r="A17" s="2400" t="s">
        <v>937</v>
      </c>
      <c r="B17" s="164" t="s">
        <v>476</v>
      </c>
      <c r="C17" s="244">
        <v>720</v>
      </c>
      <c r="D17" s="244">
        <v>404</v>
      </c>
      <c r="E17" s="244">
        <v>126</v>
      </c>
      <c r="F17" s="244">
        <v>119</v>
      </c>
      <c r="I17" s="369" t="s">
        <v>138</v>
      </c>
      <c r="J17" s="370">
        <v>7.56</v>
      </c>
      <c r="K17" s="370">
        <v>8.35</v>
      </c>
      <c r="M17" s="2403" t="s">
        <v>938</v>
      </c>
      <c r="N17" s="393" t="s">
        <v>476</v>
      </c>
      <c r="T17" s="526">
        <v>42</v>
      </c>
      <c r="U17" s="358">
        <v>99</v>
      </c>
      <c r="V17" s="358">
        <v>0</v>
      </c>
      <c r="X17">
        <v>443</v>
      </c>
      <c r="Y17">
        <v>90</v>
      </c>
      <c r="Z17">
        <v>104</v>
      </c>
      <c r="AA17">
        <v>19</v>
      </c>
      <c r="AC17" t="s">
        <v>938</v>
      </c>
      <c r="AD17" t="s">
        <v>476</v>
      </c>
      <c r="AJ17">
        <v>42</v>
      </c>
      <c r="AK17">
        <v>99</v>
      </c>
      <c r="AL17">
        <v>0</v>
      </c>
      <c r="AM17">
        <v>443</v>
      </c>
      <c r="AN17">
        <v>90</v>
      </c>
      <c r="AO17">
        <v>104</v>
      </c>
      <c r="AP17">
        <v>19</v>
      </c>
      <c r="AR17" s="1047">
        <v>286</v>
      </c>
      <c r="AS17" s="444">
        <v>195</v>
      </c>
      <c r="AT17" s="244">
        <v>51</v>
      </c>
      <c r="AU17" s="444">
        <v>256</v>
      </c>
      <c r="AV17" s="1122">
        <v>386</v>
      </c>
      <c r="AW17" s="1112">
        <v>114</v>
      </c>
      <c r="AX17" s="535">
        <v>90</v>
      </c>
      <c r="AY17" s="1112">
        <v>26</v>
      </c>
    </row>
    <row r="18" spans="1:51" ht="14.5">
      <c r="A18" s="2400"/>
      <c r="B18" s="165" t="s">
        <v>178</v>
      </c>
      <c r="C18" s="244">
        <v>71</v>
      </c>
      <c r="D18" s="244">
        <v>318</v>
      </c>
      <c r="E18" s="244">
        <v>406</v>
      </c>
      <c r="F18" s="244">
        <v>116</v>
      </c>
      <c r="I18" s="369" t="s">
        <v>284</v>
      </c>
      <c r="J18" s="371">
        <v>2.1000000000000001E-2</v>
      </c>
      <c r="K18" s="371">
        <v>1.9E-2</v>
      </c>
      <c r="M18" s="2403"/>
      <c r="N18" s="396" t="s">
        <v>477</v>
      </c>
      <c r="T18" s="526">
        <v>14</v>
      </c>
      <c r="U18" s="358">
        <v>11</v>
      </c>
      <c r="V18" s="358">
        <v>12</v>
      </c>
      <c r="X18">
        <v>19</v>
      </c>
      <c r="Y18">
        <v>17</v>
      </c>
      <c r="Z18">
        <v>14</v>
      </c>
      <c r="AA18">
        <v>14</v>
      </c>
      <c r="AD18" t="s">
        <v>477</v>
      </c>
      <c r="AJ18">
        <v>14</v>
      </c>
      <c r="AK18">
        <v>11</v>
      </c>
      <c r="AL18">
        <v>12</v>
      </c>
      <c r="AM18">
        <v>19</v>
      </c>
      <c r="AN18">
        <v>17</v>
      </c>
      <c r="AO18">
        <v>14</v>
      </c>
      <c r="AP18">
        <v>14</v>
      </c>
      <c r="AR18" s="669">
        <v>14</v>
      </c>
      <c r="AS18" s="444">
        <v>8</v>
      </c>
      <c r="AT18" s="244">
        <v>10</v>
      </c>
      <c r="AU18" s="1117">
        <v>70</v>
      </c>
      <c r="AV18" s="1120">
        <v>14</v>
      </c>
      <c r="AW18" s="1112">
        <v>115</v>
      </c>
      <c r="AX18" s="535">
        <v>9</v>
      </c>
      <c r="AY18" s="452">
        <v>16</v>
      </c>
    </row>
    <row r="19" spans="1:51" ht="14.5">
      <c r="I19" s="369" t="s">
        <v>285</v>
      </c>
      <c r="J19" s="370">
        <v>7.85</v>
      </c>
      <c r="K19" s="370">
        <v>12.1</v>
      </c>
    </row>
    <row r="20" spans="1:51" ht="29">
      <c r="I20" s="373" t="s">
        <v>760</v>
      </c>
      <c r="J20" s="372"/>
      <c r="K20" s="364">
        <v>42201</v>
      </c>
      <c r="P20" s="612" t="s">
        <v>991</v>
      </c>
    </row>
    <row r="21" spans="1:51" ht="28">
      <c r="A21" s="362" t="s">
        <v>756</v>
      </c>
      <c r="C21" s="377">
        <v>42173</v>
      </c>
      <c r="D21" s="377">
        <v>42201</v>
      </c>
      <c r="I21" s="369" t="s">
        <v>134</v>
      </c>
      <c r="J21" s="374"/>
      <c r="K21" s="367">
        <v>0.47569444444444442</v>
      </c>
      <c r="O21" s="75" t="s">
        <v>979</v>
      </c>
      <c r="P21" s="75" t="s">
        <v>980</v>
      </c>
      <c r="Q21" s="75" t="s">
        <v>981</v>
      </c>
      <c r="S21" s="507">
        <v>76</v>
      </c>
      <c r="T21" s="1051">
        <v>42906</v>
      </c>
      <c r="U21" s="507" t="s">
        <v>177</v>
      </c>
      <c r="V21" s="505">
        <v>593</v>
      </c>
      <c r="X21" s="75" t="s">
        <v>979</v>
      </c>
      <c r="Y21" s="75" t="s">
        <v>980</v>
      </c>
      <c r="Z21" s="75" t="s">
        <v>981</v>
      </c>
    </row>
    <row r="22" spans="1:51" ht="14.5">
      <c r="A22" s="2407" t="s">
        <v>763</v>
      </c>
      <c r="B22" s="164" t="s">
        <v>476</v>
      </c>
      <c r="C22" s="358"/>
      <c r="D22" s="240">
        <v>185</v>
      </c>
      <c r="I22" s="369" t="s">
        <v>283</v>
      </c>
      <c r="J22" s="374"/>
      <c r="K22" s="368">
        <v>8</v>
      </c>
      <c r="M22" s="2394" t="s">
        <v>1402</v>
      </c>
      <c r="N22" s="75" t="s">
        <v>764</v>
      </c>
      <c r="O22" s="358">
        <f>MEDIAN(Q12,Q14,Q10,P10,Q8,P8,Q6,P6,Q4,O8,O6,O10,P16,Q16,O16,T10,T18,U18,V18,W16,R16,S16,X10:AA10,X16:AA16,X18:AA18)</f>
        <v>39.5</v>
      </c>
      <c r="P22" s="358">
        <f>MEDIAN(T18:V18,X18:AA18)</f>
        <v>14</v>
      </c>
      <c r="Q22" s="358">
        <f>MEDIAN(Q12,Q14,Q10,P10,Q8,P8,Q6,P6,Q4,O8,O6,O10,P16,Q16,O16,T10,R16,S16,W16,X16,X10:AA10,Y16:AA16)</f>
        <v>73</v>
      </c>
      <c r="S22" s="507">
        <v>76</v>
      </c>
      <c r="T22" s="1051">
        <v>42906</v>
      </c>
      <c r="U22" s="505" t="s">
        <v>159</v>
      </c>
      <c r="V22" s="505">
        <v>132</v>
      </c>
      <c r="X22">
        <f>MEDIAN(AG3,AE5:AG5,,AE7:AG7,AE9:AX9,AG11,AG13,AE15:AZ15,AJ17:AY17)</f>
        <v>282.5</v>
      </c>
      <c r="Y22">
        <f>MEDIAN(AJ17:AY17)</f>
        <v>99</v>
      </c>
      <c r="Z22">
        <f>MEDIAN(AG3,AE5:AG5,,AE7:AG7,AE9:AX9,AG11,AG13,AE15:AZ15)</f>
        <v>365</v>
      </c>
    </row>
    <row r="23" spans="1:51" ht="14.5">
      <c r="A23" s="2408"/>
      <c r="B23" s="165" t="s">
        <v>477</v>
      </c>
      <c r="C23" s="358"/>
      <c r="D23" s="240">
        <v>31</v>
      </c>
      <c r="I23" s="369" t="s">
        <v>138</v>
      </c>
      <c r="J23" s="374"/>
      <c r="K23" s="370">
        <v>7.96</v>
      </c>
      <c r="M23" s="2395"/>
      <c r="N23" s="75" t="s">
        <v>15</v>
      </c>
      <c r="O23" s="358">
        <f>AVERAGE(Q14,Q12,Q10,P10,Q8,P8,Q6,P6,Q4,O8,O10,O6,P16,Q16,O16,T18,T10,U18,V18,W16,X10:AA10,X16:AA16,X18:AA18)</f>
        <v>140.125</v>
      </c>
      <c r="P23" s="358">
        <f>AVERAGE(T18:V18,X18:AA18)</f>
        <v>14.428571428571429</v>
      </c>
      <c r="Q23" s="358">
        <f>AVERAGE(Q14,Q12,Q10,P10,Q8,P8,Q6,P6,Q4,O8,O10,O6,P16,Q16,O16,R16,T10,S16,W16,X16,X10:AA10,Y16:AA16)</f>
        <v>181.66666666666666</v>
      </c>
      <c r="S23" s="507">
        <v>76</v>
      </c>
      <c r="T23" s="1051">
        <v>42930</v>
      </c>
      <c r="U23" s="507" t="s">
        <v>177</v>
      </c>
      <c r="V23" s="505">
        <v>283</v>
      </c>
      <c r="X23">
        <f>AVERAGE(AG3,AE5:AG5,,AE7:AG7,AE9:AX9,AG11,AG13,AE15:AZ15,AJ17:AY17)</f>
        <v>543.21428571428567</v>
      </c>
      <c r="Y23">
        <f>AVERAGE(AJ17:AY17)</f>
        <v>146.73333333333332</v>
      </c>
      <c r="Z23">
        <f>AVERAGE(AG3,AE5:AG5,,AE7:AG7,AE9:AX9,AG11,AG13,AE15:AZ15)</f>
        <v>688.26829268292681</v>
      </c>
    </row>
    <row r="24" spans="1:51" ht="14.5">
      <c r="A24" s="2407" t="s">
        <v>757</v>
      </c>
      <c r="B24" s="164" t="s">
        <v>476</v>
      </c>
      <c r="C24" s="240">
        <v>807</v>
      </c>
      <c r="D24" s="240">
        <v>444</v>
      </c>
      <c r="I24" s="369" t="s">
        <v>284</v>
      </c>
      <c r="J24" s="374"/>
      <c r="K24" s="371">
        <v>5.2999999999999999E-2</v>
      </c>
      <c r="M24" s="2398" t="s">
        <v>178</v>
      </c>
      <c r="N24" s="75" t="s">
        <v>764</v>
      </c>
      <c r="O24" s="358">
        <f>MEDIAN(Q13,Q11,Q9,P9,Q7,P7,Q5,P5,Q3,O9,O7,O5,Q15,P15,O15,T9,T17,U17,V17,W15,X15:AA15,X9:AA9,X17:AA17)</f>
        <v>307</v>
      </c>
      <c r="P24" s="358">
        <f>MEDIAN(T17:V17,X17:AA17)</f>
        <v>90</v>
      </c>
      <c r="Q24" s="358">
        <f>MEDIAN(Q13,Q11,Q9,P9,Q7,P7,Q5,P5,Q3,O9,O7,O5,Q15,P15,O15,T9,R15,S15,W15,X15,Y15:AA15,X9:AA9)</f>
        <v>331</v>
      </c>
      <c r="S24" s="507">
        <v>76</v>
      </c>
      <c r="T24" s="1051">
        <v>42930</v>
      </c>
      <c r="U24" s="505" t="s">
        <v>159</v>
      </c>
      <c r="V24" s="505">
        <v>44</v>
      </c>
      <c r="X24">
        <f>MEDIAN(AG4,AE6:AG6,,AE8:AG8,AE10:AU10,AG12,AG14,AE16:AU16,AJ18:AU18)</f>
        <v>39.5</v>
      </c>
      <c r="Y24">
        <f>MEDIAN(AJ18:AY18)</f>
        <v>14</v>
      </c>
      <c r="Z24">
        <f>MEDIAN(AG4,AE6:AG6,,AE8:AG8,AE10:AX10,AG12,AG14,AE16:AZ16)</f>
        <v>73</v>
      </c>
    </row>
    <row r="25" spans="1:51" ht="14.5">
      <c r="A25" s="2408"/>
      <c r="B25" s="165" t="s">
        <v>477</v>
      </c>
      <c r="C25" s="240">
        <v>112</v>
      </c>
      <c r="D25" s="240">
        <v>11</v>
      </c>
      <c r="I25" s="369" t="s">
        <v>285</v>
      </c>
      <c r="J25" s="374"/>
      <c r="K25" s="370">
        <v>10.199999999999999</v>
      </c>
      <c r="M25" s="2399"/>
      <c r="N25" s="75" t="s">
        <v>15</v>
      </c>
      <c r="O25" s="358">
        <f>AVERAGE(Q13,Q11,Q9,P9,Q7,P7,Q5,P5,Q3,O9,O7,O5,Q15,P15,O15,T9,T17,U17,V17,W15,X15:AA15,X17:AA17,X9:AA9)</f>
        <v>486.1875</v>
      </c>
      <c r="P25" s="358">
        <f>AVERAGE(T17:V17,X17:AA17)</f>
        <v>113.85714285714286</v>
      </c>
      <c r="Q25" s="358">
        <f>AVERAGE(Q13,Q11,Q9,P9,Q7,P7,Q5,P5,Q3,O9,O7,O5,Q15,P15,O15,T9,R15,S15,W15,X15,X9:AA9,Y15,Z15:AA15)</f>
        <v>555.77777777777783</v>
      </c>
      <c r="S25" s="507">
        <v>76</v>
      </c>
      <c r="T25" s="1051">
        <v>42962</v>
      </c>
      <c r="U25" s="507" t="s">
        <v>177</v>
      </c>
      <c r="V25" s="505">
        <v>249</v>
      </c>
      <c r="X25">
        <f>AVERAGE(AG4,AE6:AG6,,AE8:AG8,AE10:AX10,AG12,AG14,AE16:AZ16,AJ18:AY18)</f>
        <v>240.16071428571428</v>
      </c>
      <c r="Y25">
        <f>AVERAGE(AJ18:AU18)</f>
        <v>18.454545454545453</v>
      </c>
      <c r="Z25">
        <f>AVERAGE(AG4,AE6:AG6,,AE8:AG8,AE10:AX10,AG12,AG14,AE16:AZ16)</f>
        <v>319.3170731707317</v>
      </c>
    </row>
    <row r="26" spans="1:51" ht="14.5">
      <c r="A26" s="2407" t="s">
        <v>758</v>
      </c>
      <c r="B26" s="164" t="s">
        <v>476</v>
      </c>
      <c r="C26" s="240">
        <v>596</v>
      </c>
      <c r="D26" s="240">
        <v>404</v>
      </c>
      <c r="I26" s="373" t="s">
        <v>761</v>
      </c>
      <c r="J26" s="372"/>
      <c r="K26" s="364">
        <v>42201</v>
      </c>
      <c r="S26" s="507">
        <v>76</v>
      </c>
      <c r="T26" s="1051">
        <v>42962</v>
      </c>
      <c r="U26" s="505" t="s">
        <v>159</v>
      </c>
      <c r="V26" s="505">
        <v>9</v>
      </c>
    </row>
    <row r="27" spans="1:51" ht="14.5">
      <c r="A27" s="2408"/>
      <c r="B27" s="165" t="s">
        <v>477</v>
      </c>
      <c r="C27" s="240">
        <v>35</v>
      </c>
      <c r="D27" s="240">
        <v>17</v>
      </c>
      <c r="I27" s="369" t="s">
        <v>134</v>
      </c>
      <c r="J27" s="374"/>
      <c r="K27" s="367">
        <v>0.4375</v>
      </c>
      <c r="M27" s="91"/>
      <c r="N27" s="608">
        <v>42550</v>
      </c>
      <c r="O27" s="608">
        <v>42565</v>
      </c>
      <c r="P27" s="608">
        <v>42600</v>
      </c>
      <c r="Q27" s="608">
        <v>42628</v>
      </c>
      <c r="S27" s="507">
        <v>76</v>
      </c>
      <c r="T27" s="1051">
        <v>42990</v>
      </c>
      <c r="U27" s="507" t="s">
        <v>177</v>
      </c>
      <c r="V27" s="505">
        <v>156</v>
      </c>
    </row>
    <row r="28" spans="1:51" ht="14.5">
      <c r="A28" s="2407" t="s">
        <v>759</v>
      </c>
      <c r="B28" s="164" t="s">
        <v>476</v>
      </c>
      <c r="C28" s="240">
        <v>1454</v>
      </c>
      <c r="D28" s="240">
        <v>282</v>
      </c>
      <c r="I28" s="369" t="s">
        <v>283</v>
      </c>
      <c r="J28" s="374"/>
      <c r="K28" s="368">
        <v>5.9</v>
      </c>
      <c r="M28" s="2388" t="s">
        <v>759</v>
      </c>
      <c r="N28" s="2389"/>
      <c r="O28" s="2389"/>
      <c r="P28" s="2389"/>
      <c r="Q28" s="2389"/>
      <c r="S28" s="507">
        <v>76</v>
      </c>
      <c r="T28" s="1051">
        <v>42990</v>
      </c>
      <c r="U28" s="505" t="s">
        <v>159</v>
      </c>
      <c r="V28" s="505">
        <v>10</v>
      </c>
    </row>
    <row r="29" spans="1:51" ht="14.5">
      <c r="A29" s="2408"/>
      <c r="B29" s="165" t="s">
        <v>477</v>
      </c>
      <c r="C29" s="240">
        <v>100</v>
      </c>
      <c r="D29" s="240">
        <v>15</v>
      </c>
      <c r="I29" s="369" t="s">
        <v>138</v>
      </c>
      <c r="J29" s="374"/>
      <c r="K29" s="370">
        <v>7.85</v>
      </c>
      <c r="M29" s="98" t="s">
        <v>134</v>
      </c>
      <c r="N29" s="97">
        <v>0.44444444444444442</v>
      </c>
      <c r="O29" s="609"/>
      <c r="P29" s="97">
        <v>0.42569444444444443</v>
      </c>
      <c r="Q29" s="609"/>
      <c r="S29" s="175"/>
      <c r="T29" s="464"/>
    </row>
    <row r="30" spans="1:51" ht="14.5">
      <c r="A30" s="2407" t="s">
        <v>761</v>
      </c>
      <c r="B30" s="164" t="s">
        <v>476</v>
      </c>
      <c r="C30" s="358"/>
      <c r="D30" s="240">
        <v>212</v>
      </c>
      <c r="I30" s="369" t="s">
        <v>284</v>
      </c>
      <c r="J30" s="374"/>
      <c r="K30" s="371">
        <v>2.9000000000000001E-2</v>
      </c>
      <c r="M30" s="98" t="s">
        <v>317</v>
      </c>
      <c r="N30" s="564" t="s">
        <v>849</v>
      </c>
      <c r="O30" s="564"/>
      <c r="P30" s="98" t="s">
        <v>871</v>
      </c>
      <c r="Q30" s="98"/>
      <c r="S30" s="507">
        <v>95</v>
      </c>
      <c r="T30" s="1051">
        <v>42906</v>
      </c>
      <c r="U30" s="507" t="s">
        <v>177</v>
      </c>
      <c r="V30" s="505">
        <v>443</v>
      </c>
    </row>
    <row r="31" spans="1:51" ht="14.5">
      <c r="A31" s="2408"/>
      <c r="B31" s="165" t="s">
        <v>477</v>
      </c>
      <c r="C31" s="358"/>
      <c r="D31" s="240">
        <v>17</v>
      </c>
      <c r="I31" s="369" t="s">
        <v>285</v>
      </c>
      <c r="J31" s="374"/>
      <c r="K31" s="370">
        <v>11.22</v>
      </c>
      <c r="M31" s="98" t="s">
        <v>875</v>
      </c>
      <c r="N31" s="610">
        <v>0.45</v>
      </c>
      <c r="O31" s="610"/>
      <c r="P31" s="610">
        <v>1</v>
      </c>
      <c r="Q31" s="610"/>
      <c r="S31" s="507">
        <v>95</v>
      </c>
      <c r="T31" s="1051">
        <v>42906</v>
      </c>
      <c r="U31" s="505" t="s">
        <v>159</v>
      </c>
      <c r="V31" s="505">
        <v>19</v>
      </c>
    </row>
    <row r="32" spans="1:51" ht="14.5">
      <c r="A32" s="2407" t="s">
        <v>762</v>
      </c>
      <c r="B32" s="164" t="s">
        <v>476</v>
      </c>
      <c r="C32" s="358"/>
      <c r="D32" s="240">
        <v>365</v>
      </c>
      <c r="I32" s="372" t="s">
        <v>762</v>
      </c>
      <c r="J32" s="372"/>
      <c r="K32" s="364">
        <v>42201</v>
      </c>
      <c r="M32" s="607" t="s">
        <v>876</v>
      </c>
      <c r="N32" s="611">
        <v>3</v>
      </c>
      <c r="O32" s="611"/>
      <c r="P32" s="98">
        <v>5</v>
      </c>
      <c r="Q32" s="98"/>
      <c r="S32" s="507">
        <v>95</v>
      </c>
      <c r="T32" s="1051">
        <v>42930</v>
      </c>
      <c r="U32" s="507" t="s">
        <v>177</v>
      </c>
      <c r="V32" s="505">
        <v>90</v>
      </c>
    </row>
    <row r="33" spans="1:22" ht="14.5">
      <c r="A33" s="2408"/>
      <c r="B33" s="165" t="s">
        <v>477</v>
      </c>
      <c r="C33" s="358"/>
      <c r="D33" s="240">
        <v>20</v>
      </c>
      <c r="I33" s="369" t="s">
        <v>134</v>
      </c>
      <c r="J33" s="374"/>
      <c r="K33" s="367">
        <v>0.43055555555555558</v>
      </c>
      <c r="M33" s="98" t="s">
        <v>888</v>
      </c>
      <c r="N33" s="287">
        <v>14.4</v>
      </c>
      <c r="O33" s="287"/>
      <c r="P33" s="564">
        <v>5.6</v>
      </c>
      <c r="Q33" s="564"/>
      <c r="S33" s="507">
        <v>95</v>
      </c>
      <c r="T33" s="1051">
        <v>42930</v>
      </c>
      <c r="U33" s="505" t="s">
        <v>159</v>
      </c>
      <c r="V33" s="505">
        <v>17</v>
      </c>
    </row>
    <row r="34" spans="1:22" ht="14.5">
      <c r="C34" s="2404" t="s">
        <v>765</v>
      </c>
      <c r="D34" s="2405"/>
      <c r="I34" s="369" t="s">
        <v>283</v>
      </c>
      <c r="J34" s="374"/>
      <c r="K34" s="368">
        <v>5</v>
      </c>
      <c r="M34" s="98" t="s">
        <v>889</v>
      </c>
      <c r="N34" s="98">
        <v>12239</v>
      </c>
      <c r="O34" s="98">
        <v>12239</v>
      </c>
      <c r="P34" s="98">
        <v>12239</v>
      </c>
      <c r="Q34" s="98">
        <v>12239</v>
      </c>
      <c r="S34" s="507">
        <v>95</v>
      </c>
      <c r="T34" s="1051">
        <v>42962</v>
      </c>
      <c r="U34" s="507" t="s">
        <v>177</v>
      </c>
      <c r="V34" s="505">
        <v>104</v>
      </c>
    </row>
    <row r="35" spans="1:22" ht="14.5">
      <c r="B35" s="2409" t="s">
        <v>477</v>
      </c>
      <c r="C35" s="31" t="s">
        <v>764</v>
      </c>
      <c r="D35" s="31">
        <f>MEDIAN(D22:D34,D31,D33,D29,C29,D27,C27,D25,C25,D23)</f>
        <v>31</v>
      </c>
      <c r="I35" s="369" t="s">
        <v>138</v>
      </c>
      <c r="J35" s="374"/>
      <c r="K35" s="370">
        <v>8.1300000000000008</v>
      </c>
      <c r="M35" s="98" t="s">
        <v>138</v>
      </c>
      <c r="N35" s="287">
        <v>8.67</v>
      </c>
      <c r="O35" s="287"/>
      <c r="P35" s="287">
        <v>6.56</v>
      </c>
      <c r="Q35" s="287"/>
      <c r="S35" s="507">
        <v>95</v>
      </c>
      <c r="T35" s="1051">
        <v>42962</v>
      </c>
      <c r="U35" s="505" t="s">
        <v>159</v>
      </c>
      <c r="V35" s="505">
        <v>14</v>
      </c>
    </row>
    <row r="36" spans="1:22" ht="14.5">
      <c r="B36" s="2409"/>
      <c r="C36" s="31" t="s">
        <v>15</v>
      </c>
      <c r="D36" s="31">
        <f>AVERAGE(D33,D31,D29,C29,D27,C27,D25,C25,D23)</f>
        <v>39.777777777777779</v>
      </c>
      <c r="I36" s="369" t="s">
        <v>284</v>
      </c>
      <c r="J36" s="374"/>
      <c r="K36" s="371">
        <v>2.1000000000000001E-2</v>
      </c>
      <c r="M36" s="98" t="s">
        <v>137</v>
      </c>
      <c r="N36" s="564">
        <v>6.7</v>
      </c>
      <c r="O36" s="98"/>
      <c r="P36" s="564">
        <v>4.7</v>
      </c>
      <c r="Q36" s="564"/>
      <c r="S36" s="507">
        <v>95</v>
      </c>
      <c r="T36" s="1051">
        <v>42990</v>
      </c>
      <c r="U36" s="507" t="s">
        <v>177</v>
      </c>
      <c r="V36" s="505">
        <v>19</v>
      </c>
    </row>
    <row r="37" spans="1:22" ht="14.5">
      <c r="B37" s="2406" t="s">
        <v>476</v>
      </c>
      <c r="C37" s="31" t="s">
        <v>764</v>
      </c>
      <c r="D37" s="31">
        <f>MEDIAN(D32,D30,D28,C28,D26,C26,D24,C24,D22)</f>
        <v>404</v>
      </c>
      <c r="I37" s="369" t="s">
        <v>285</v>
      </c>
      <c r="J37" s="374"/>
      <c r="K37" s="370">
        <v>11.8</v>
      </c>
      <c r="M37" s="98" t="s">
        <v>136</v>
      </c>
      <c r="N37" s="287">
        <v>4.79</v>
      </c>
      <c r="O37" s="98"/>
      <c r="P37" s="287">
        <v>2.4500000000000002</v>
      </c>
      <c r="Q37" s="287"/>
      <c r="S37" s="507">
        <v>95</v>
      </c>
      <c r="T37" s="1051">
        <v>42990</v>
      </c>
      <c r="U37" s="505" t="s">
        <v>159</v>
      </c>
      <c r="V37" s="505">
        <v>14</v>
      </c>
    </row>
    <row r="38" spans="1:22">
      <c r="B38" s="2406"/>
      <c r="C38" s="31" t="s">
        <v>15</v>
      </c>
      <c r="D38" s="31">
        <f>AVERAGE(D32,D30,D28,C28,D26,C26,D24,C24,D22)</f>
        <v>527.66666666666663</v>
      </c>
      <c r="M38" s="98" t="s">
        <v>135</v>
      </c>
      <c r="N38" s="564">
        <v>23.1</v>
      </c>
      <c r="O38" s="98"/>
      <c r="P38" s="564">
        <v>66.099999999999994</v>
      </c>
      <c r="Q38" s="564"/>
      <c r="U38" s="507" t="s">
        <v>1231</v>
      </c>
      <c r="V38" t="s">
        <v>1232</v>
      </c>
    </row>
    <row r="39" spans="1:22">
      <c r="M39" s="98" t="s">
        <v>246</v>
      </c>
      <c r="N39" s="611">
        <v>0.01</v>
      </c>
      <c r="O39" s="98"/>
      <c r="P39" s="98">
        <v>0</v>
      </c>
      <c r="Q39" s="98"/>
      <c r="R39" s="507">
        <v>63</v>
      </c>
      <c r="S39" s="1051">
        <v>42906</v>
      </c>
      <c r="T39" s="507"/>
      <c r="U39" s="505">
        <v>331</v>
      </c>
      <c r="V39" s="227">
        <v>78</v>
      </c>
    </row>
    <row r="40" spans="1:22">
      <c r="M40" s="2390" t="s">
        <v>983</v>
      </c>
      <c r="N40" s="2391"/>
      <c r="O40" s="2391"/>
      <c r="P40" s="2391"/>
      <c r="Q40" s="2392"/>
      <c r="R40" s="507">
        <v>63</v>
      </c>
      <c r="S40" s="1051">
        <v>42930</v>
      </c>
      <c r="T40" s="507"/>
      <c r="U40" s="505">
        <v>138</v>
      </c>
      <c r="V40" s="227">
        <v>128</v>
      </c>
    </row>
    <row r="41" spans="1:22">
      <c r="M41" s="98" t="s">
        <v>134</v>
      </c>
      <c r="N41" s="97">
        <v>0.46527777777777773</v>
      </c>
      <c r="O41" s="97">
        <v>0.42708333333333331</v>
      </c>
      <c r="P41" s="97">
        <v>0.43333333333333335</v>
      </c>
      <c r="Q41" s="609"/>
      <c r="R41" s="507">
        <v>63</v>
      </c>
      <c r="S41" s="1051">
        <v>42962</v>
      </c>
      <c r="T41" s="507"/>
      <c r="U41" s="505">
        <v>331</v>
      </c>
      <c r="V41" s="227">
        <v>237</v>
      </c>
    </row>
    <row r="42" spans="1:22">
      <c r="M42" s="98" t="s">
        <v>317</v>
      </c>
      <c r="N42" s="98" t="s">
        <v>849</v>
      </c>
      <c r="O42" s="98" t="s">
        <v>871</v>
      </c>
      <c r="P42" s="98" t="s">
        <v>871</v>
      </c>
      <c r="Q42" s="98"/>
      <c r="R42" s="507">
        <v>63</v>
      </c>
      <c r="S42" s="1051">
        <v>42990</v>
      </c>
      <c r="T42" s="507"/>
      <c r="U42" s="505">
        <v>1803</v>
      </c>
      <c r="V42" s="227">
        <v>1794</v>
      </c>
    </row>
    <row r="43" spans="1:22">
      <c r="M43" s="98" t="s">
        <v>875</v>
      </c>
      <c r="N43" s="610">
        <v>0.45</v>
      </c>
      <c r="O43" s="610">
        <v>0.9</v>
      </c>
      <c r="P43" s="610">
        <v>1</v>
      </c>
      <c r="Q43" s="610"/>
    </row>
    <row r="44" spans="1:22">
      <c r="M44" s="607" t="s">
        <v>876</v>
      </c>
      <c r="N44" s="98">
        <v>1</v>
      </c>
      <c r="O44" s="98">
        <v>4</v>
      </c>
      <c r="P44" s="98">
        <v>4</v>
      </c>
      <c r="Q44" s="98"/>
    </row>
    <row r="45" spans="1:22">
      <c r="M45" s="98" t="s">
        <v>888</v>
      </c>
      <c r="N45" s="287">
        <v>14.4</v>
      </c>
      <c r="O45" s="564">
        <v>19.7</v>
      </c>
      <c r="P45" s="564">
        <v>15</v>
      </c>
      <c r="Q45" s="564"/>
    </row>
    <row r="46" spans="1:22">
      <c r="M46" s="98" t="s">
        <v>889</v>
      </c>
      <c r="N46" s="98">
        <v>12255</v>
      </c>
      <c r="O46" s="98">
        <v>12255</v>
      </c>
      <c r="P46" s="98">
        <v>12255</v>
      </c>
      <c r="Q46" s="98">
        <v>12255</v>
      </c>
    </row>
    <row r="47" spans="1:22">
      <c r="M47" s="98" t="s">
        <v>138</v>
      </c>
      <c r="N47" s="287">
        <v>8.6199999999999992</v>
      </c>
      <c r="O47" s="287">
        <v>8.3000000000000007</v>
      </c>
      <c r="P47" s="287">
        <v>5.99</v>
      </c>
      <c r="Q47" s="287"/>
    </row>
    <row r="48" spans="1:22">
      <c r="M48" s="98" t="s">
        <v>137</v>
      </c>
      <c r="N48" s="564">
        <v>10.9</v>
      </c>
      <c r="O48" s="564">
        <v>10.8</v>
      </c>
      <c r="P48" s="564">
        <v>8.1999999999999993</v>
      </c>
      <c r="Q48" s="564"/>
    </row>
    <row r="49" spans="13:17">
      <c r="M49" s="98" t="s">
        <v>136</v>
      </c>
      <c r="N49" s="287">
        <v>6.46</v>
      </c>
      <c r="O49" s="287">
        <v>3.85</v>
      </c>
      <c r="P49" s="287">
        <v>2.36</v>
      </c>
      <c r="Q49" s="287"/>
    </row>
    <row r="50" spans="13:17">
      <c r="M50" s="98" t="s">
        <v>135</v>
      </c>
      <c r="N50" s="564">
        <v>13.1</v>
      </c>
      <c r="O50" s="564">
        <v>22.4</v>
      </c>
      <c r="P50" s="564">
        <v>36</v>
      </c>
      <c r="Q50" s="564"/>
    </row>
    <row r="51" spans="13:17">
      <c r="M51" s="98" t="s">
        <v>246</v>
      </c>
      <c r="N51" s="611">
        <v>2.7E-2</v>
      </c>
      <c r="O51" s="98">
        <v>0</v>
      </c>
      <c r="P51" s="98">
        <v>0</v>
      </c>
      <c r="Q51" s="98"/>
    </row>
    <row r="52" spans="13:17">
      <c r="M52" s="2393" t="s">
        <v>982</v>
      </c>
      <c r="N52" s="2393"/>
      <c r="O52" s="2393"/>
      <c r="P52" s="2393"/>
      <c r="Q52" s="2393"/>
    </row>
    <row r="53" spans="13:17">
      <c r="M53" s="98" t="s">
        <v>134</v>
      </c>
      <c r="N53" s="98"/>
      <c r="O53" s="98"/>
      <c r="P53" s="97">
        <v>0.40416666666666662</v>
      </c>
      <c r="Q53" s="97">
        <v>0.45833333333333331</v>
      </c>
    </row>
    <row r="54" spans="13:17">
      <c r="M54" s="98" t="s">
        <v>317</v>
      </c>
      <c r="N54" s="98"/>
      <c r="O54" s="98"/>
      <c r="P54" s="98" t="s">
        <v>871</v>
      </c>
      <c r="Q54" s="98" t="s">
        <v>871</v>
      </c>
    </row>
    <row r="55" spans="13:17">
      <c r="M55" s="98" t="s">
        <v>875</v>
      </c>
      <c r="N55" s="98"/>
      <c r="O55" s="98"/>
      <c r="P55" s="610">
        <v>1</v>
      </c>
      <c r="Q55" s="610">
        <v>1</v>
      </c>
    </row>
    <row r="56" spans="13:17">
      <c r="M56" s="607" t="s">
        <v>876</v>
      </c>
      <c r="N56" s="98"/>
      <c r="O56" s="98"/>
      <c r="P56" s="98">
        <v>5</v>
      </c>
      <c r="Q56" s="98">
        <v>5</v>
      </c>
    </row>
    <row r="57" spans="13:17">
      <c r="M57" s="98" t="s">
        <v>888</v>
      </c>
      <c r="N57" s="98"/>
      <c r="O57" s="98"/>
      <c r="P57" s="564">
        <v>7</v>
      </c>
      <c r="Q57" s="564">
        <v>6.1</v>
      </c>
    </row>
    <row r="58" spans="13:17">
      <c r="M58" s="98" t="s">
        <v>889</v>
      </c>
      <c r="N58" s="98"/>
      <c r="O58" s="98"/>
      <c r="P58" s="98">
        <v>12400</v>
      </c>
      <c r="Q58" s="98">
        <v>12400</v>
      </c>
    </row>
    <row r="59" spans="13:17">
      <c r="M59" s="98" t="s">
        <v>138</v>
      </c>
      <c r="N59" s="98"/>
      <c r="O59" s="98"/>
      <c r="P59" s="287">
        <v>6.11</v>
      </c>
      <c r="Q59" s="287">
        <v>6.95</v>
      </c>
    </row>
    <row r="60" spans="13:17">
      <c r="M60" s="98" t="s">
        <v>137</v>
      </c>
      <c r="N60" s="98"/>
      <c r="O60" s="98"/>
      <c r="P60" s="564">
        <v>6</v>
      </c>
      <c r="Q60" s="564">
        <v>5</v>
      </c>
    </row>
    <row r="61" spans="13:17">
      <c r="M61" s="98" t="s">
        <v>136</v>
      </c>
      <c r="N61" s="98"/>
      <c r="O61" s="98"/>
      <c r="P61" s="287">
        <v>1.98</v>
      </c>
      <c r="Q61" s="287">
        <v>3.56</v>
      </c>
    </row>
    <row r="62" spans="13:17">
      <c r="M62" s="98" t="s">
        <v>135</v>
      </c>
      <c r="N62" s="98"/>
      <c r="O62" s="98"/>
      <c r="P62" s="564">
        <v>78.8</v>
      </c>
      <c r="Q62" s="564">
        <v>40.299999999999997</v>
      </c>
    </row>
    <row r="63" spans="13:17">
      <c r="M63" s="98" t="s">
        <v>246</v>
      </c>
      <c r="N63" s="98"/>
      <c r="O63" s="98"/>
      <c r="P63" s="287">
        <v>0.01</v>
      </c>
      <c r="Q63" s="287">
        <v>0.01</v>
      </c>
    </row>
  </sheetData>
  <mergeCells count="24">
    <mergeCell ref="A17:A18"/>
    <mergeCell ref="C34:D34"/>
    <mergeCell ref="B37:B38"/>
    <mergeCell ref="A22:A23"/>
    <mergeCell ref="A24:A25"/>
    <mergeCell ref="A26:A27"/>
    <mergeCell ref="A28:A29"/>
    <mergeCell ref="A30:A31"/>
    <mergeCell ref="A32:A33"/>
    <mergeCell ref="B35:B36"/>
    <mergeCell ref="M28:Q28"/>
    <mergeCell ref="M40:Q40"/>
    <mergeCell ref="M52:Q52"/>
    <mergeCell ref="M22:M23"/>
    <mergeCell ref="M2:N2"/>
    <mergeCell ref="M24:M25"/>
    <mergeCell ref="M15:M16"/>
    <mergeCell ref="M3:M4"/>
    <mergeCell ref="M5:M6"/>
    <mergeCell ref="M7:M8"/>
    <mergeCell ref="M9:M10"/>
    <mergeCell ref="M11:M12"/>
    <mergeCell ref="M13:M14"/>
    <mergeCell ref="M17:M18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59999389629810485"/>
  </sheetPr>
  <dimension ref="A1:Q91"/>
  <sheetViews>
    <sheetView topLeftCell="B43" workbookViewId="0">
      <selection activeCell="D54" sqref="D54:K56"/>
    </sheetView>
  </sheetViews>
  <sheetFormatPr defaultRowHeight="14"/>
  <cols>
    <col min="1" max="1" width="11.1796875" bestFit="1" customWidth="1"/>
    <col min="2" max="2" width="8.90625" bestFit="1" customWidth="1"/>
    <col min="3" max="3" width="11.81640625" bestFit="1" customWidth="1"/>
    <col min="4" max="4" width="11.453125" bestFit="1" customWidth="1"/>
    <col min="5" max="5" width="8.90625" bestFit="1" customWidth="1"/>
    <col min="6" max="6" width="17.54296875" bestFit="1" customWidth="1"/>
    <col min="7" max="7" width="10.1796875" bestFit="1" customWidth="1"/>
    <col min="8" max="8" width="10" bestFit="1" customWidth="1"/>
    <col min="9" max="9" width="8.90625" bestFit="1" customWidth="1"/>
    <col min="10" max="10" width="6.81640625" bestFit="1" customWidth="1"/>
    <col min="11" max="11" width="6.453125" bestFit="1" customWidth="1"/>
    <col min="12" max="12" width="6.36328125" bestFit="1" customWidth="1"/>
    <col min="13" max="13" width="5.90625" bestFit="1" customWidth="1"/>
    <col min="14" max="14" width="11.54296875" bestFit="1" customWidth="1"/>
    <col min="16" max="16" width="9.90625" bestFit="1" customWidth="1"/>
  </cols>
  <sheetData>
    <row r="1" spans="1:17">
      <c r="A1" s="508" t="s">
        <v>712</v>
      </c>
      <c r="B1" s="508" t="s">
        <v>713</v>
      </c>
      <c r="C1" s="509" t="s">
        <v>714</v>
      </c>
      <c r="D1" s="509" t="s">
        <v>715</v>
      </c>
      <c r="E1" s="508" t="s">
        <v>716</v>
      </c>
      <c r="F1" s="508" t="s">
        <v>717</v>
      </c>
      <c r="G1" s="508" t="s">
        <v>910</v>
      </c>
      <c r="H1" s="508" t="s">
        <v>718</v>
      </c>
      <c r="I1" s="510" t="s">
        <v>718</v>
      </c>
      <c r="J1" s="508" t="s">
        <v>911</v>
      </c>
      <c r="K1" s="508" t="s">
        <v>912</v>
      </c>
      <c r="L1" s="511" t="s">
        <v>913</v>
      </c>
      <c r="M1" s="511" t="s">
        <v>478</v>
      </c>
      <c r="N1" s="509" t="s">
        <v>914</v>
      </c>
    </row>
    <row r="2" spans="1:17">
      <c r="A2" s="435" t="s">
        <v>1341</v>
      </c>
      <c r="B2" s="1412" t="s">
        <v>1551</v>
      </c>
      <c r="C2" s="1417" t="s">
        <v>923</v>
      </c>
      <c r="D2" s="1416">
        <v>43472</v>
      </c>
      <c r="E2" s="1416">
        <v>43472</v>
      </c>
      <c r="F2" s="1412" t="s">
        <v>927</v>
      </c>
      <c r="G2" s="1412" t="s">
        <v>719</v>
      </c>
      <c r="H2" s="1418" t="s">
        <v>928</v>
      </c>
      <c r="I2" s="1414">
        <v>92</v>
      </c>
      <c r="J2" s="1419">
        <v>92</v>
      </c>
      <c r="K2" s="1414"/>
      <c r="L2" s="1412" t="s">
        <v>920</v>
      </c>
      <c r="M2" s="1415">
        <v>2</v>
      </c>
      <c r="N2" s="1415"/>
      <c r="O2" s="1413">
        <v>43472</v>
      </c>
      <c r="P2" s="18">
        <v>43472</v>
      </c>
      <c r="Q2" s="505"/>
    </row>
    <row r="3" spans="1:17">
      <c r="A3" s="435" t="s">
        <v>1341</v>
      </c>
      <c r="B3" s="1412" t="s">
        <v>1551</v>
      </c>
      <c r="C3" s="1417" t="s">
        <v>923</v>
      </c>
      <c r="D3" s="1416">
        <v>43472</v>
      </c>
      <c r="E3" s="1416">
        <v>43472</v>
      </c>
      <c r="F3" s="1423" t="s">
        <v>924</v>
      </c>
      <c r="G3" s="1412" t="s">
        <v>719</v>
      </c>
      <c r="H3" s="1418" t="s">
        <v>925</v>
      </c>
      <c r="I3" s="1429">
        <v>3</v>
      </c>
      <c r="J3" s="1430">
        <v>3</v>
      </c>
      <c r="K3" s="1429" t="s">
        <v>926</v>
      </c>
      <c r="L3" s="1412" t="s">
        <v>917</v>
      </c>
      <c r="M3" s="1431">
        <v>0.26</v>
      </c>
      <c r="N3" s="1415">
        <v>4</v>
      </c>
      <c r="O3" s="1413">
        <v>43483</v>
      </c>
      <c r="P3" s="18">
        <v>43507</v>
      </c>
    </row>
    <row r="4" spans="1:17">
      <c r="A4" s="435" t="s">
        <v>1342</v>
      </c>
      <c r="B4" s="1412" t="s">
        <v>1550</v>
      </c>
      <c r="C4" s="1417" t="s">
        <v>1224</v>
      </c>
      <c r="D4" s="1416">
        <v>43472</v>
      </c>
      <c r="E4" s="1416">
        <v>43472</v>
      </c>
      <c r="F4" s="1412" t="s">
        <v>927</v>
      </c>
      <c r="G4" s="1412" t="s">
        <v>719</v>
      </c>
      <c r="H4" s="1418" t="s">
        <v>928</v>
      </c>
      <c r="I4" s="1414">
        <v>600</v>
      </c>
      <c r="J4" s="1419">
        <v>600</v>
      </c>
      <c r="K4" s="1414"/>
      <c r="L4" s="1412" t="s">
        <v>920</v>
      </c>
      <c r="M4" s="1415">
        <v>2</v>
      </c>
      <c r="N4" s="1415"/>
      <c r="O4" s="1413">
        <v>43472</v>
      </c>
      <c r="P4" s="18">
        <v>43545</v>
      </c>
    </row>
    <row r="5" spans="1:17">
      <c r="A5" s="435" t="s">
        <v>1342</v>
      </c>
      <c r="B5" s="1412" t="s">
        <v>1550</v>
      </c>
      <c r="C5" s="1417" t="s">
        <v>1224</v>
      </c>
      <c r="D5" s="1416">
        <v>43472</v>
      </c>
      <c r="E5" s="1416">
        <v>43472</v>
      </c>
      <c r="F5" s="1423" t="s">
        <v>924</v>
      </c>
      <c r="G5" s="1412" t="s">
        <v>719</v>
      </c>
      <c r="H5" s="1418" t="s">
        <v>925</v>
      </c>
      <c r="I5" s="1429">
        <v>2.2000000000000002</v>
      </c>
      <c r="J5" s="1430">
        <v>2.2000000000000002</v>
      </c>
      <c r="K5" s="1429" t="s">
        <v>926</v>
      </c>
      <c r="L5" s="1412" t="s">
        <v>917</v>
      </c>
      <c r="M5" s="1431">
        <v>0.26</v>
      </c>
      <c r="N5" s="1415">
        <v>4</v>
      </c>
      <c r="O5" s="1413">
        <v>43483</v>
      </c>
      <c r="P5" s="18">
        <v>43563</v>
      </c>
    </row>
    <row r="6" spans="1:17" s="1969" customFormat="1">
      <c r="A6" s="435"/>
      <c r="B6" s="1412" t="s">
        <v>1552</v>
      </c>
      <c r="C6" s="1417" t="s">
        <v>929</v>
      </c>
      <c r="D6" s="1416">
        <v>43472</v>
      </c>
      <c r="E6" s="1416">
        <v>43472</v>
      </c>
      <c r="F6" s="1412" t="s">
        <v>927</v>
      </c>
      <c r="G6" s="1412" t="s">
        <v>719</v>
      </c>
      <c r="H6" s="1418" t="s">
        <v>928</v>
      </c>
      <c r="I6" s="1414">
        <v>156</v>
      </c>
      <c r="J6" s="1419">
        <v>156</v>
      </c>
      <c r="K6" s="1414"/>
      <c r="L6" s="1412" t="s">
        <v>920</v>
      </c>
      <c r="M6" s="1415">
        <v>2</v>
      </c>
      <c r="N6" s="1415"/>
      <c r="O6" s="1413">
        <v>43472</v>
      </c>
      <c r="P6" s="18"/>
    </row>
    <row r="7" spans="1:17" s="1969" customFormat="1">
      <c r="A7" s="435"/>
      <c r="B7" s="1412" t="s">
        <v>1552</v>
      </c>
      <c r="C7" s="1417" t="s">
        <v>929</v>
      </c>
      <c r="D7" s="1416">
        <v>43472</v>
      </c>
      <c r="E7" s="1416">
        <v>43472</v>
      </c>
      <c r="F7" s="1423" t="s">
        <v>924</v>
      </c>
      <c r="G7" s="1412" t="s">
        <v>719</v>
      </c>
      <c r="H7" s="1418" t="s">
        <v>925</v>
      </c>
      <c r="I7" s="1429">
        <v>2.5</v>
      </c>
      <c r="J7" s="1430">
        <v>2.5</v>
      </c>
      <c r="K7" s="1429" t="s">
        <v>926</v>
      </c>
      <c r="L7" s="1412" t="s">
        <v>917</v>
      </c>
      <c r="M7" s="1431">
        <v>0.26</v>
      </c>
      <c r="N7" s="1415">
        <v>4</v>
      </c>
      <c r="O7" s="1413">
        <v>43483</v>
      </c>
      <c r="P7" s="18"/>
    </row>
    <row r="8" spans="1:17">
      <c r="A8" s="435" t="s">
        <v>1343</v>
      </c>
      <c r="B8" s="435" t="s">
        <v>1564</v>
      </c>
      <c r="C8" s="60" t="s">
        <v>923</v>
      </c>
      <c r="D8" s="92">
        <v>43507</v>
      </c>
      <c r="E8" s="92">
        <v>43507</v>
      </c>
      <c r="F8" s="435" t="s">
        <v>927</v>
      </c>
      <c r="G8" s="435" t="s">
        <v>719</v>
      </c>
      <c r="H8" s="1389" t="s">
        <v>928</v>
      </c>
      <c r="I8" s="227">
        <v>88</v>
      </c>
      <c r="J8" s="228">
        <v>88</v>
      </c>
      <c r="K8" s="227"/>
      <c r="L8" s="435" t="s">
        <v>920</v>
      </c>
      <c r="M8" s="174">
        <v>2</v>
      </c>
      <c r="N8" s="174"/>
      <c r="O8" s="175">
        <v>43507</v>
      </c>
      <c r="P8" s="18">
        <v>43591</v>
      </c>
    </row>
    <row r="9" spans="1:17">
      <c r="A9" s="435" t="s">
        <v>1343</v>
      </c>
      <c r="B9" s="435" t="s">
        <v>1564</v>
      </c>
      <c r="C9" s="60" t="s">
        <v>923</v>
      </c>
      <c r="D9" s="92">
        <v>43507</v>
      </c>
      <c r="E9" s="92">
        <v>43507</v>
      </c>
      <c r="F9" s="228" t="s">
        <v>924</v>
      </c>
      <c r="G9" s="435" t="s">
        <v>719</v>
      </c>
      <c r="H9" s="1389" t="s">
        <v>925</v>
      </c>
      <c r="I9" s="227">
        <v>1.6</v>
      </c>
      <c r="J9" s="228">
        <v>1.6</v>
      </c>
      <c r="K9" s="227" t="s">
        <v>926</v>
      </c>
      <c r="L9" s="435" t="s">
        <v>917</v>
      </c>
      <c r="M9" s="1032">
        <v>0.26</v>
      </c>
      <c r="N9" s="174">
        <v>4</v>
      </c>
      <c r="O9" s="175">
        <v>43521</v>
      </c>
      <c r="P9" s="18">
        <v>43626</v>
      </c>
    </row>
    <row r="10" spans="1:17">
      <c r="A10" s="1023"/>
      <c r="B10" s="435" t="s">
        <v>1563</v>
      </c>
      <c r="C10" s="60" t="s">
        <v>1224</v>
      </c>
      <c r="D10" s="92">
        <v>43507</v>
      </c>
      <c r="E10" s="92">
        <v>43507</v>
      </c>
      <c r="F10" s="435" t="s">
        <v>927</v>
      </c>
      <c r="G10" s="435" t="s">
        <v>719</v>
      </c>
      <c r="H10" s="1389" t="s">
        <v>928</v>
      </c>
      <c r="I10" s="227">
        <v>590</v>
      </c>
      <c r="J10" s="228">
        <v>590</v>
      </c>
      <c r="K10" s="227"/>
      <c r="L10" s="435" t="s">
        <v>920</v>
      </c>
      <c r="M10" s="174">
        <v>2</v>
      </c>
      <c r="N10" s="174"/>
      <c r="O10" s="175">
        <v>43507</v>
      </c>
      <c r="P10" s="18">
        <v>43690</v>
      </c>
    </row>
    <row r="11" spans="1:17">
      <c r="A11" s="1023" t="s">
        <v>1344</v>
      </c>
      <c r="B11" s="435" t="s">
        <v>1563</v>
      </c>
      <c r="C11" s="60" t="s">
        <v>1224</v>
      </c>
      <c r="D11" s="92">
        <v>43507</v>
      </c>
      <c r="E11" s="92">
        <v>43507</v>
      </c>
      <c r="F11" s="228" t="s">
        <v>924</v>
      </c>
      <c r="G11" s="435" t="s">
        <v>719</v>
      </c>
      <c r="H11" s="1389" t="s">
        <v>925</v>
      </c>
      <c r="I11" s="227">
        <v>1.3</v>
      </c>
      <c r="J11" s="228">
        <v>1.3</v>
      </c>
      <c r="K11" s="227" t="s">
        <v>926</v>
      </c>
      <c r="L11" s="435" t="s">
        <v>917</v>
      </c>
      <c r="M11" s="1032">
        <v>0.26</v>
      </c>
      <c r="N11" s="174">
        <v>4</v>
      </c>
      <c r="O11" s="175">
        <v>43521</v>
      </c>
      <c r="P11" s="18">
        <v>43724</v>
      </c>
    </row>
    <row r="12" spans="1:17">
      <c r="A12" s="1023" t="s">
        <v>1344</v>
      </c>
      <c r="B12" s="435" t="s">
        <v>1565</v>
      </c>
      <c r="C12" s="60" t="s">
        <v>929</v>
      </c>
      <c r="D12" s="92">
        <v>43507</v>
      </c>
      <c r="E12" s="92">
        <v>43507</v>
      </c>
      <c r="F12" s="435" t="s">
        <v>927</v>
      </c>
      <c r="G12" s="435" t="s">
        <v>719</v>
      </c>
      <c r="H12" s="1389" t="s">
        <v>928</v>
      </c>
      <c r="I12" s="227">
        <v>136</v>
      </c>
      <c r="J12" s="228">
        <v>136</v>
      </c>
      <c r="K12" s="227"/>
      <c r="L12" s="435" t="s">
        <v>920</v>
      </c>
      <c r="M12" s="174">
        <v>2</v>
      </c>
      <c r="N12" s="174"/>
      <c r="O12" s="175">
        <v>43507</v>
      </c>
      <c r="P12" s="18"/>
    </row>
    <row r="13" spans="1:17">
      <c r="A13" s="1023" t="s">
        <v>1345</v>
      </c>
      <c r="B13" s="435" t="s">
        <v>1565</v>
      </c>
      <c r="C13" s="60" t="s">
        <v>929</v>
      </c>
      <c r="D13" s="92">
        <v>43507</v>
      </c>
      <c r="E13" s="92">
        <v>43507</v>
      </c>
      <c r="F13" s="228" t="s">
        <v>924</v>
      </c>
      <c r="G13" s="435" t="s">
        <v>719</v>
      </c>
      <c r="H13" s="1389" t="s">
        <v>925</v>
      </c>
      <c r="I13" s="227">
        <v>1.7</v>
      </c>
      <c r="J13" s="228">
        <v>1.7</v>
      </c>
      <c r="K13" s="227" t="s">
        <v>926</v>
      </c>
      <c r="L13" s="435" t="s">
        <v>917</v>
      </c>
      <c r="M13" s="1032">
        <v>0.26</v>
      </c>
      <c r="N13" s="174">
        <v>4</v>
      </c>
      <c r="O13" s="175">
        <v>43521</v>
      </c>
      <c r="P13" s="18"/>
    </row>
    <row r="14" spans="1:17">
      <c r="A14" s="1023" t="s">
        <v>1345</v>
      </c>
      <c r="B14" s="1433" t="s">
        <v>1574</v>
      </c>
      <c r="C14" s="1438" t="s">
        <v>923</v>
      </c>
      <c r="D14" s="1437">
        <v>43545</v>
      </c>
      <c r="E14" s="1437">
        <v>43545</v>
      </c>
      <c r="F14" s="1433" t="s">
        <v>927</v>
      </c>
      <c r="G14" s="1433" t="s">
        <v>719</v>
      </c>
      <c r="H14" s="1439" t="s">
        <v>928</v>
      </c>
      <c r="I14" s="1435">
        <v>116</v>
      </c>
      <c r="J14" s="1440">
        <v>116</v>
      </c>
      <c r="K14" s="1435"/>
      <c r="L14" s="1433" t="s">
        <v>920</v>
      </c>
      <c r="M14" s="1436">
        <v>2</v>
      </c>
      <c r="N14" s="1436"/>
      <c r="O14" s="1434">
        <v>43545</v>
      </c>
      <c r="P14" s="18"/>
    </row>
    <row r="15" spans="1:17">
      <c r="A15" s="1023" t="s">
        <v>1346</v>
      </c>
      <c r="B15" s="1433" t="s">
        <v>1574</v>
      </c>
      <c r="C15" s="1438" t="s">
        <v>923</v>
      </c>
      <c r="D15" s="1437">
        <v>43545</v>
      </c>
      <c r="E15" s="1437">
        <v>43545</v>
      </c>
      <c r="F15" s="1444" t="s">
        <v>924</v>
      </c>
      <c r="G15" s="1433" t="s">
        <v>719</v>
      </c>
      <c r="H15" s="1439" t="s">
        <v>925</v>
      </c>
      <c r="I15" s="1450">
        <v>3.7</v>
      </c>
      <c r="J15" s="1451">
        <v>3.7</v>
      </c>
      <c r="K15" s="1450" t="s">
        <v>926</v>
      </c>
      <c r="L15" s="1433" t="s">
        <v>917</v>
      </c>
      <c r="M15" s="1452">
        <v>0.26</v>
      </c>
      <c r="N15" s="1436">
        <v>4</v>
      </c>
      <c r="O15" s="1434">
        <v>43551</v>
      </c>
      <c r="P15" s="18"/>
    </row>
    <row r="16" spans="1:17" s="1969" customFormat="1">
      <c r="A16" s="2070"/>
      <c r="B16" s="1433" t="s">
        <v>1576</v>
      </c>
      <c r="C16" s="1438" t="s">
        <v>1224</v>
      </c>
      <c r="D16" s="1437">
        <v>43545</v>
      </c>
      <c r="E16" s="1437">
        <v>43545</v>
      </c>
      <c r="F16" s="1433" t="s">
        <v>927</v>
      </c>
      <c r="G16" s="1433" t="s">
        <v>719</v>
      </c>
      <c r="H16" s="1439" t="s">
        <v>928</v>
      </c>
      <c r="I16" s="1435">
        <v>650</v>
      </c>
      <c r="J16" s="1440">
        <v>650</v>
      </c>
      <c r="K16" s="1435"/>
      <c r="L16" s="1433" t="s">
        <v>920</v>
      </c>
      <c r="M16" s="1436">
        <v>2</v>
      </c>
      <c r="N16" s="1436"/>
      <c r="O16" s="1434">
        <v>43545</v>
      </c>
      <c r="P16" s="18"/>
    </row>
    <row r="17" spans="1:16" s="1969" customFormat="1">
      <c r="A17" s="2070"/>
      <c r="B17" s="1433" t="s">
        <v>1576</v>
      </c>
      <c r="C17" s="1438" t="s">
        <v>1224</v>
      </c>
      <c r="D17" s="1437">
        <v>43545</v>
      </c>
      <c r="E17" s="1437">
        <v>43545</v>
      </c>
      <c r="F17" s="1444" t="s">
        <v>924</v>
      </c>
      <c r="G17" s="1433" t="s">
        <v>719</v>
      </c>
      <c r="H17" s="1439" t="s">
        <v>925</v>
      </c>
      <c r="I17" s="1450">
        <v>4.3</v>
      </c>
      <c r="J17" s="1451">
        <v>4.3</v>
      </c>
      <c r="K17" s="1450"/>
      <c r="L17" s="1433" t="s">
        <v>917</v>
      </c>
      <c r="M17" s="1452">
        <v>0.26</v>
      </c>
      <c r="N17" s="1436">
        <v>4</v>
      </c>
      <c r="O17" s="1434">
        <v>43551</v>
      </c>
      <c r="P17" s="18"/>
    </row>
    <row r="18" spans="1:16">
      <c r="A18" s="1023" t="s">
        <v>1346</v>
      </c>
      <c r="B18" s="1433" t="s">
        <v>1575</v>
      </c>
      <c r="C18" s="1438" t="s">
        <v>929</v>
      </c>
      <c r="D18" s="1437">
        <v>43545</v>
      </c>
      <c r="E18" s="1437">
        <v>43545</v>
      </c>
      <c r="F18" s="1433" t="s">
        <v>927</v>
      </c>
      <c r="G18" s="1433" t="s">
        <v>719</v>
      </c>
      <c r="H18" s="1439" t="s">
        <v>928</v>
      </c>
      <c r="I18" s="1435">
        <v>160</v>
      </c>
      <c r="J18" s="1440">
        <v>160</v>
      </c>
      <c r="K18" s="1435"/>
      <c r="L18" s="1433" t="s">
        <v>920</v>
      </c>
      <c r="M18" s="1436">
        <v>2</v>
      </c>
      <c r="N18" s="1436"/>
      <c r="O18" s="1434">
        <v>43545</v>
      </c>
    </row>
    <row r="19" spans="1:16">
      <c r="A19" s="1023"/>
      <c r="B19" s="1433" t="s">
        <v>1575</v>
      </c>
      <c r="C19" s="1438" t="s">
        <v>929</v>
      </c>
      <c r="D19" s="1437">
        <v>43545</v>
      </c>
      <c r="E19" s="1437">
        <v>43545</v>
      </c>
      <c r="F19" s="1444" t="s">
        <v>924</v>
      </c>
      <c r="G19" s="1433" t="s">
        <v>719</v>
      </c>
      <c r="H19" s="1439" t="s">
        <v>925</v>
      </c>
      <c r="I19" s="1450">
        <v>3.5</v>
      </c>
      <c r="J19" s="1451">
        <v>3.5</v>
      </c>
      <c r="K19" s="1450" t="s">
        <v>926</v>
      </c>
      <c r="L19" s="1433" t="s">
        <v>917</v>
      </c>
      <c r="M19" s="1452">
        <v>0.26</v>
      </c>
      <c r="N19" s="1436">
        <v>4</v>
      </c>
      <c r="O19" s="1434">
        <v>43551</v>
      </c>
    </row>
    <row r="20" spans="1:16">
      <c r="A20" s="1023" t="s">
        <v>1347</v>
      </c>
      <c r="B20" s="1454" t="s">
        <v>1587</v>
      </c>
      <c r="C20" s="1459" t="s">
        <v>923</v>
      </c>
      <c r="D20" s="1458">
        <v>43563</v>
      </c>
      <c r="E20" s="1458">
        <v>43563</v>
      </c>
      <c r="F20" s="1454" t="s">
        <v>927</v>
      </c>
      <c r="G20" s="1454" t="s">
        <v>719</v>
      </c>
      <c r="H20" s="1460" t="s">
        <v>928</v>
      </c>
      <c r="I20" s="1456">
        <v>92</v>
      </c>
      <c r="J20" s="1461">
        <v>92</v>
      </c>
      <c r="K20" s="1456"/>
      <c r="L20" s="1454" t="s">
        <v>920</v>
      </c>
      <c r="M20" s="1457">
        <v>2</v>
      </c>
      <c r="N20" s="1457"/>
      <c r="O20" s="1455">
        <v>43563</v>
      </c>
    </row>
    <row r="21" spans="1:16">
      <c r="A21" s="1023" t="s">
        <v>1347</v>
      </c>
      <c r="B21" s="1454" t="s">
        <v>1587</v>
      </c>
      <c r="C21" s="1459" t="s">
        <v>923</v>
      </c>
      <c r="D21" s="1458">
        <v>43563</v>
      </c>
      <c r="E21" s="1458">
        <v>43563</v>
      </c>
      <c r="F21" s="1465" t="s">
        <v>924</v>
      </c>
      <c r="G21" s="1454" t="s">
        <v>719</v>
      </c>
      <c r="H21" s="1460" t="s">
        <v>925</v>
      </c>
      <c r="I21" s="1471">
        <v>7.3</v>
      </c>
      <c r="J21" s="1472">
        <v>7.3</v>
      </c>
      <c r="K21" s="1471"/>
      <c r="L21" s="1454" t="s">
        <v>917</v>
      </c>
      <c r="M21" s="1473">
        <v>0.26</v>
      </c>
      <c r="N21" s="1457">
        <v>4</v>
      </c>
      <c r="O21" s="1455">
        <v>43578</v>
      </c>
    </row>
    <row r="22" spans="1:16">
      <c r="A22" s="1023" t="s">
        <v>1348</v>
      </c>
      <c r="B22" s="1454" t="s">
        <v>1586</v>
      </c>
      <c r="C22" s="1459" t="s">
        <v>1224</v>
      </c>
      <c r="D22" s="1458">
        <v>43563</v>
      </c>
      <c r="E22" s="1458">
        <v>43563</v>
      </c>
      <c r="F22" s="1454" t="s">
        <v>927</v>
      </c>
      <c r="G22" s="1454" t="s">
        <v>719</v>
      </c>
      <c r="H22" s="1460" t="s">
        <v>928</v>
      </c>
      <c r="I22" s="1456">
        <v>126</v>
      </c>
      <c r="J22" s="1461">
        <v>126</v>
      </c>
      <c r="K22" s="1456"/>
      <c r="L22" s="1454" t="s">
        <v>920</v>
      </c>
      <c r="M22" s="1457">
        <v>2</v>
      </c>
      <c r="N22" s="1457"/>
      <c r="O22" s="1455">
        <v>43563</v>
      </c>
    </row>
    <row r="23" spans="1:16">
      <c r="A23" s="1023" t="s">
        <v>1348</v>
      </c>
      <c r="B23" s="1454" t="s">
        <v>1586</v>
      </c>
      <c r="C23" s="1459" t="s">
        <v>1224</v>
      </c>
      <c r="D23" s="1458">
        <v>43563</v>
      </c>
      <c r="E23" s="1458">
        <v>43563</v>
      </c>
      <c r="F23" s="1465" t="s">
        <v>924</v>
      </c>
      <c r="G23" s="1454" t="s">
        <v>719</v>
      </c>
      <c r="H23" s="1460" t="s">
        <v>925</v>
      </c>
      <c r="I23" s="1471">
        <v>7.2</v>
      </c>
      <c r="J23" s="1472">
        <v>7.2</v>
      </c>
      <c r="K23" s="1471"/>
      <c r="L23" s="1454" t="s">
        <v>917</v>
      </c>
      <c r="M23" s="1473">
        <v>0.26</v>
      </c>
      <c r="N23" s="1457">
        <v>4</v>
      </c>
      <c r="O23" s="1455">
        <v>43578</v>
      </c>
    </row>
    <row r="24" spans="1:16">
      <c r="A24" s="1023" t="s">
        <v>1349</v>
      </c>
      <c r="B24" s="1454" t="s">
        <v>1588</v>
      </c>
      <c r="C24" s="1459" t="s">
        <v>929</v>
      </c>
      <c r="D24" s="1458">
        <v>43563</v>
      </c>
      <c r="E24" s="1458">
        <v>43563</v>
      </c>
      <c r="F24" s="1454" t="s">
        <v>927</v>
      </c>
      <c r="G24" s="1454" t="s">
        <v>719</v>
      </c>
      <c r="H24" s="1460" t="s">
        <v>928</v>
      </c>
      <c r="I24" s="1456">
        <v>126</v>
      </c>
      <c r="J24" s="1461">
        <v>126</v>
      </c>
      <c r="K24" s="1456"/>
      <c r="L24" s="1454" t="s">
        <v>920</v>
      </c>
      <c r="M24" s="1457">
        <v>2</v>
      </c>
      <c r="N24" s="1457"/>
      <c r="O24" s="1455">
        <v>43563</v>
      </c>
    </row>
    <row r="25" spans="1:16">
      <c r="A25" s="1023" t="s">
        <v>1349</v>
      </c>
      <c r="B25" s="1454" t="s">
        <v>1588</v>
      </c>
      <c r="C25" s="1459" t="s">
        <v>929</v>
      </c>
      <c r="D25" s="1458">
        <v>43563</v>
      </c>
      <c r="E25" s="1458">
        <v>43563</v>
      </c>
      <c r="F25" s="1465" t="s">
        <v>924</v>
      </c>
      <c r="G25" s="1454" t="s">
        <v>719</v>
      </c>
      <c r="H25" s="1460" t="s">
        <v>925</v>
      </c>
      <c r="I25" s="1471">
        <v>6.5</v>
      </c>
      <c r="J25" s="1472">
        <v>6.5</v>
      </c>
      <c r="K25" s="1471"/>
      <c r="L25" s="1454" t="s">
        <v>917</v>
      </c>
      <c r="M25" s="1473">
        <v>0.26</v>
      </c>
      <c r="N25" s="1457">
        <v>4</v>
      </c>
      <c r="O25" s="1455">
        <v>43578</v>
      </c>
    </row>
    <row r="26" spans="1:16">
      <c r="A26" s="1023"/>
      <c r="B26" s="1475" t="s">
        <v>1597</v>
      </c>
      <c r="C26" s="1480" t="s">
        <v>923</v>
      </c>
      <c r="D26" s="1479">
        <v>43591</v>
      </c>
      <c r="E26" s="1479">
        <v>43591</v>
      </c>
      <c r="F26" s="1475" t="s">
        <v>927</v>
      </c>
      <c r="G26" s="1475" t="s">
        <v>719</v>
      </c>
      <c r="H26" s="1481" t="s">
        <v>928</v>
      </c>
      <c r="I26" s="1477">
        <v>76</v>
      </c>
      <c r="J26" s="1482">
        <v>76</v>
      </c>
      <c r="K26" s="1477"/>
      <c r="L26" s="1475" t="s">
        <v>920</v>
      </c>
      <c r="M26" s="1478">
        <v>2</v>
      </c>
      <c r="N26" s="1478"/>
      <c r="O26" s="1476">
        <v>43591</v>
      </c>
    </row>
    <row r="27" spans="1:16">
      <c r="A27" s="1023" t="s">
        <v>1350</v>
      </c>
      <c r="B27" s="1475" t="s">
        <v>1597</v>
      </c>
      <c r="C27" s="1480" t="s">
        <v>923</v>
      </c>
      <c r="D27" s="1479">
        <v>43591</v>
      </c>
      <c r="E27" s="1479">
        <v>43591</v>
      </c>
      <c r="F27" s="1486" t="s">
        <v>924</v>
      </c>
      <c r="G27" s="1475" t="s">
        <v>719</v>
      </c>
      <c r="H27" s="1481" t="s">
        <v>925</v>
      </c>
      <c r="I27" s="1492">
        <v>1.5</v>
      </c>
      <c r="J27" s="1493">
        <v>1.5</v>
      </c>
      <c r="K27" s="1492" t="s">
        <v>926</v>
      </c>
      <c r="L27" s="1475" t="s">
        <v>917</v>
      </c>
      <c r="M27" s="1494">
        <v>0.26</v>
      </c>
      <c r="N27" s="1478">
        <v>4</v>
      </c>
      <c r="O27" s="1476">
        <v>43608</v>
      </c>
    </row>
    <row r="28" spans="1:16">
      <c r="A28" s="1023" t="s">
        <v>1350</v>
      </c>
      <c r="B28" s="1475" t="s">
        <v>1596</v>
      </c>
      <c r="C28" s="1480" t="s">
        <v>1224</v>
      </c>
      <c r="D28" s="1479">
        <v>43591</v>
      </c>
      <c r="E28" s="1479">
        <v>43591</v>
      </c>
      <c r="F28" s="1475" t="s">
        <v>927</v>
      </c>
      <c r="G28" s="1475" t="s">
        <v>719</v>
      </c>
      <c r="H28" s="1481" t="s">
        <v>928</v>
      </c>
      <c r="I28" s="1477">
        <v>740</v>
      </c>
      <c r="J28" s="1482">
        <v>740</v>
      </c>
      <c r="K28" s="1477"/>
      <c r="L28" s="1475" t="s">
        <v>920</v>
      </c>
      <c r="M28" s="1478">
        <v>2</v>
      </c>
      <c r="N28" s="1478"/>
      <c r="O28" s="1476">
        <v>43591</v>
      </c>
    </row>
    <row r="29" spans="1:16">
      <c r="A29" s="1023" t="s">
        <v>1351</v>
      </c>
      <c r="B29" s="1475" t="s">
        <v>1596</v>
      </c>
      <c r="C29" s="1480" t="s">
        <v>1224</v>
      </c>
      <c r="D29" s="1479">
        <v>43591</v>
      </c>
      <c r="E29" s="1479">
        <v>43591</v>
      </c>
      <c r="F29" s="1486" t="s">
        <v>924</v>
      </c>
      <c r="G29" s="1475" t="s">
        <v>719</v>
      </c>
      <c r="H29" s="1481" t="s">
        <v>925</v>
      </c>
      <c r="I29" s="1492">
        <v>1.3</v>
      </c>
      <c r="J29" s="1493">
        <v>1.3</v>
      </c>
      <c r="K29" s="1492" t="s">
        <v>926</v>
      </c>
      <c r="L29" s="1475" t="s">
        <v>917</v>
      </c>
      <c r="M29" s="1494">
        <v>0.26</v>
      </c>
      <c r="N29" s="1478">
        <v>4</v>
      </c>
      <c r="O29" s="1476">
        <v>43608</v>
      </c>
    </row>
    <row r="30" spans="1:16">
      <c r="A30" s="1023" t="s">
        <v>1351</v>
      </c>
      <c r="B30" s="1475" t="s">
        <v>1598</v>
      </c>
      <c r="C30" s="1480" t="s">
        <v>929</v>
      </c>
      <c r="D30" s="1479">
        <v>43591</v>
      </c>
      <c r="E30" s="1479">
        <v>43591</v>
      </c>
      <c r="F30" s="1475" t="s">
        <v>927</v>
      </c>
      <c r="G30" s="1475" t="s">
        <v>719</v>
      </c>
      <c r="H30" s="1481" t="s">
        <v>928</v>
      </c>
      <c r="I30" s="1477">
        <v>112</v>
      </c>
      <c r="J30" s="1482">
        <v>112</v>
      </c>
      <c r="K30" s="1477"/>
      <c r="L30" s="1475" t="s">
        <v>920</v>
      </c>
      <c r="M30" s="1478">
        <v>2</v>
      </c>
      <c r="N30" s="1478"/>
      <c r="O30" s="1476">
        <v>43591</v>
      </c>
    </row>
    <row r="31" spans="1:16">
      <c r="A31" s="1023" t="s">
        <v>1352</v>
      </c>
      <c r="B31" s="1475" t="s">
        <v>1598</v>
      </c>
      <c r="C31" s="1480" t="s">
        <v>929</v>
      </c>
      <c r="D31" s="1479">
        <v>43591</v>
      </c>
      <c r="E31" s="1479">
        <v>43591</v>
      </c>
      <c r="F31" s="1486" t="s">
        <v>924</v>
      </c>
      <c r="G31" s="1475" t="s">
        <v>719</v>
      </c>
      <c r="H31" s="1481" t="s">
        <v>925</v>
      </c>
      <c r="I31" s="1492">
        <v>1.6</v>
      </c>
      <c r="J31" s="1493">
        <v>1.6</v>
      </c>
      <c r="K31" s="1492" t="s">
        <v>926</v>
      </c>
      <c r="L31" s="1475" t="s">
        <v>917</v>
      </c>
      <c r="M31" s="1494">
        <v>0.26</v>
      </c>
      <c r="N31" s="1478">
        <v>4</v>
      </c>
      <c r="O31" s="1476">
        <v>43608</v>
      </c>
    </row>
    <row r="32" spans="1:16">
      <c r="A32" s="1023" t="s">
        <v>1352</v>
      </c>
      <c r="B32" s="1496" t="s">
        <v>1608</v>
      </c>
      <c r="C32" s="1501" t="s">
        <v>923</v>
      </c>
      <c r="D32" s="1500">
        <v>43626</v>
      </c>
      <c r="E32" s="1500">
        <v>43626</v>
      </c>
      <c r="F32" s="1496" t="s">
        <v>927</v>
      </c>
      <c r="G32" s="1496" t="s">
        <v>719</v>
      </c>
      <c r="H32" s="1502" t="s">
        <v>928</v>
      </c>
      <c r="I32" s="1498">
        <v>38</v>
      </c>
      <c r="J32" s="1503">
        <v>38</v>
      </c>
      <c r="K32" s="1498"/>
      <c r="L32" s="1496" t="s">
        <v>920</v>
      </c>
      <c r="M32" s="1499">
        <v>2</v>
      </c>
      <c r="N32" s="1499"/>
      <c r="O32" s="1497">
        <v>43626</v>
      </c>
    </row>
    <row r="33" spans="1:15">
      <c r="A33" s="1023"/>
      <c r="B33" s="1496" t="s">
        <v>1608</v>
      </c>
      <c r="C33" s="1501" t="s">
        <v>923</v>
      </c>
      <c r="D33" s="1500">
        <v>43626</v>
      </c>
      <c r="E33" s="1500">
        <v>43626</v>
      </c>
      <c r="F33" s="1507" t="s">
        <v>924</v>
      </c>
      <c r="G33" s="1496" t="s">
        <v>719</v>
      </c>
      <c r="H33" s="1502" t="s">
        <v>925</v>
      </c>
      <c r="I33" s="1513">
        <v>1.3</v>
      </c>
      <c r="J33" s="1514">
        <v>1.3</v>
      </c>
      <c r="K33" s="1513" t="s">
        <v>926</v>
      </c>
      <c r="L33" s="1496" t="s">
        <v>917</v>
      </c>
      <c r="M33" s="1515">
        <v>0.26</v>
      </c>
      <c r="N33" s="1499">
        <v>4</v>
      </c>
      <c r="O33" s="1497">
        <v>43644</v>
      </c>
    </row>
    <row r="34" spans="1:15">
      <c r="A34" s="1023" t="s">
        <v>1356</v>
      </c>
      <c r="B34" s="1496" t="s">
        <v>1609</v>
      </c>
      <c r="C34" s="1501" t="s">
        <v>1224</v>
      </c>
      <c r="D34" s="1500">
        <v>43626</v>
      </c>
      <c r="E34" s="1500">
        <v>43626</v>
      </c>
      <c r="F34" s="1496" t="s">
        <v>927</v>
      </c>
      <c r="G34" s="1496" t="s">
        <v>719</v>
      </c>
      <c r="H34" s="1502" t="s">
        <v>928</v>
      </c>
      <c r="I34" s="1498">
        <v>604</v>
      </c>
      <c r="J34" s="1503">
        <v>604</v>
      </c>
      <c r="K34" s="1498"/>
      <c r="L34" s="1496" t="s">
        <v>920</v>
      </c>
      <c r="M34" s="1499">
        <v>2</v>
      </c>
      <c r="N34" s="1499"/>
      <c r="O34" s="1497">
        <v>43626</v>
      </c>
    </row>
    <row r="35" spans="1:15">
      <c r="A35" s="1023" t="s">
        <v>1356</v>
      </c>
      <c r="B35" s="1496" t="s">
        <v>1609</v>
      </c>
      <c r="C35" s="1501" t="s">
        <v>1224</v>
      </c>
      <c r="D35" s="1500">
        <v>43626</v>
      </c>
      <c r="E35" s="1500">
        <v>43626</v>
      </c>
      <c r="F35" s="1507" t="s">
        <v>924</v>
      </c>
      <c r="G35" s="1496" t="s">
        <v>719</v>
      </c>
      <c r="H35" s="1502" t="s">
        <v>925</v>
      </c>
      <c r="I35" s="1513">
        <v>2.1</v>
      </c>
      <c r="J35" s="1514">
        <v>2.1</v>
      </c>
      <c r="K35" s="1513" t="s">
        <v>926</v>
      </c>
      <c r="L35" s="1496" t="s">
        <v>917</v>
      </c>
      <c r="M35" s="1515">
        <v>0.26</v>
      </c>
      <c r="N35" s="1499">
        <v>4</v>
      </c>
      <c r="O35" s="1497">
        <v>43644</v>
      </c>
    </row>
    <row r="36" spans="1:15">
      <c r="A36" s="1023" t="s">
        <v>1358</v>
      </c>
      <c r="B36" s="1496" t="s">
        <v>1610</v>
      </c>
      <c r="C36" s="1501" t="s">
        <v>929</v>
      </c>
      <c r="D36" s="1500">
        <v>43626</v>
      </c>
      <c r="E36" s="1500">
        <v>43626</v>
      </c>
      <c r="F36" s="1496" t="s">
        <v>927</v>
      </c>
      <c r="G36" s="1496" t="s">
        <v>719</v>
      </c>
      <c r="H36" s="1502" t="s">
        <v>928</v>
      </c>
      <c r="I36" s="1498">
        <v>56</v>
      </c>
      <c r="J36" s="1503">
        <v>56</v>
      </c>
      <c r="K36" s="1498"/>
      <c r="L36" s="1496" t="s">
        <v>920</v>
      </c>
      <c r="M36" s="1499">
        <v>2</v>
      </c>
      <c r="N36" s="1499"/>
      <c r="O36" s="1497">
        <v>43626</v>
      </c>
    </row>
    <row r="37" spans="1:15">
      <c r="A37" s="1023" t="s">
        <v>1358</v>
      </c>
      <c r="B37" s="1496" t="s">
        <v>1610</v>
      </c>
      <c r="C37" s="1501" t="s">
        <v>929</v>
      </c>
      <c r="D37" s="1500">
        <v>43626</v>
      </c>
      <c r="E37" s="1500">
        <v>43626</v>
      </c>
      <c r="F37" s="1507" t="s">
        <v>924</v>
      </c>
      <c r="G37" s="1496" t="s">
        <v>719</v>
      </c>
      <c r="H37" s="1502" t="s">
        <v>925</v>
      </c>
      <c r="I37" s="1513">
        <v>5.6</v>
      </c>
      <c r="J37" s="1514">
        <v>5.6</v>
      </c>
      <c r="K37" s="1513"/>
      <c r="L37" s="1496" t="s">
        <v>917</v>
      </c>
      <c r="M37" s="1515">
        <v>0.26</v>
      </c>
      <c r="N37" s="1499">
        <v>4</v>
      </c>
      <c r="O37" s="1497">
        <v>43644</v>
      </c>
    </row>
    <row r="38" spans="1:15">
      <c r="A38" s="1023" t="s">
        <v>1357</v>
      </c>
      <c r="B38" s="1694" t="s">
        <v>1683</v>
      </c>
      <c r="C38" s="1699" t="s">
        <v>923</v>
      </c>
      <c r="D38" s="1698">
        <v>43690</v>
      </c>
      <c r="E38" s="1698">
        <v>43690</v>
      </c>
      <c r="F38" s="1694" t="s">
        <v>927</v>
      </c>
      <c r="G38" s="1694" t="s">
        <v>719</v>
      </c>
      <c r="H38" s="1701" t="s">
        <v>928</v>
      </c>
      <c r="I38" s="1696">
        <v>40</v>
      </c>
      <c r="J38" s="1702">
        <v>40</v>
      </c>
      <c r="K38" s="1696"/>
      <c r="L38" s="1694" t="s">
        <v>920</v>
      </c>
      <c r="M38" s="1697">
        <v>2</v>
      </c>
      <c r="N38" s="1697"/>
      <c r="O38" s="1695">
        <v>43690</v>
      </c>
    </row>
    <row r="39" spans="1:15">
      <c r="A39" s="1023" t="s">
        <v>1357</v>
      </c>
      <c r="B39" s="1694" t="s">
        <v>1683</v>
      </c>
      <c r="C39" s="1699" t="s">
        <v>923</v>
      </c>
      <c r="D39" s="1698">
        <v>43690</v>
      </c>
      <c r="E39" s="1698">
        <v>43690</v>
      </c>
      <c r="F39" s="1706" t="s">
        <v>924</v>
      </c>
      <c r="G39" s="1694" t="s">
        <v>719</v>
      </c>
      <c r="H39" s="1701" t="s">
        <v>925</v>
      </c>
      <c r="I39" s="1713">
        <v>1.1000000000000001</v>
      </c>
      <c r="J39" s="1714">
        <v>1.1000000000000001</v>
      </c>
      <c r="K39" s="1713" t="s">
        <v>926</v>
      </c>
      <c r="L39" s="1694" t="s">
        <v>917</v>
      </c>
      <c r="M39" s="1715">
        <v>0.26</v>
      </c>
      <c r="N39" s="1697">
        <v>4</v>
      </c>
      <c r="O39" s="1695">
        <v>43700</v>
      </c>
    </row>
    <row r="40" spans="1:15">
      <c r="A40" s="435"/>
      <c r="B40" s="1694" t="s">
        <v>1684</v>
      </c>
      <c r="C40" s="1699" t="s">
        <v>929</v>
      </c>
      <c r="D40" s="1698">
        <v>43690</v>
      </c>
      <c r="E40" s="1698">
        <v>43690</v>
      </c>
      <c r="F40" s="1694" t="s">
        <v>927</v>
      </c>
      <c r="G40" s="1694" t="s">
        <v>719</v>
      </c>
      <c r="H40" s="1701" t="s">
        <v>928</v>
      </c>
      <c r="I40" s="1696">
        <v>44</v>
      </c>
      <c r="J40" s="1702">
        <v>44</v>
      </c>
      <c r="K40" s="1696"/>
      <c r="L40" s="1694" t="s">
        <v>920</v>
      </c>
      <c r="M40" s="1697">
        <v>2</v>
      </c>
      <c r="N40" s="1697"/>
      <c r="O40" s="1695">
        <v>43690</v>
      </c>
    </row>
    <row r="41" spans="1:15">
      <c r="A41" s="1023" t="s">
        <v>1359</v>
      </c>
      <c r="B41" s="1694" t="s">
        <v>1684</v>
      </c>
      <c r="C41" s="1699" t="s">
        <v>929</v>
      </c>
      <c r="D41" s="1698">
        <v>43690</v>
      </c>
      <c r="E41" s="1698">
        <v>43690</v>
      </c>
      <c r="F41" s="1706" t="s">
        <v>924</v>
      </c>
      <c r="G41" s="1694" t="s">
        <v>719</v>
      </c>
      <c r="H41" s="1701" t="s">
        <v>925</v>
      </c>
      <c r="I41" s="1713">
        <v>1.2</v>
      </c>
      <c r="J41" s="1714">
        <v>1.2</v>
      </c>
      <c r="K41" s="1713" t="s">
        <v>926</v>
      </c>
      <c r="L41" s="1694" t="s">
        <v>917</v>
      </c>
      <c r="M41" s="1715">
        <v>0.26</v>
      </c>
      <c r="N41" s="1697">
        <v>4</v>
      </c>
      <c r="O41" s="1695">
        <v>43699</v>
      </c>
    </row>
    <row r="42" spans="1:15">
      <c r="A42" s="1023" t="s">
        <v>1359</v>
      </c>
      <c r="B42" s="1596" t="s">
        <v>1647</v>
      </c>
      <c r="C42" s="1601" t="s">
        <v>923</v>
      </c>
      <c r="D42" s="1600">
        <v>43724</v>
      </c>
      <c r="E42" s="1600">
        <v>43724</v>
      </c>
      <c r="F42" s="1596" t="s">
        <v>927</v>
      </c>
      <c r="G42" s="1596" t="s">
        <v>719</v>
      </c>
      <c r="H42" s="1602" t="s">
        <v>928</v>
      </c>
      <c r="I42" s="1598">
        <v>52</v>
      </c>
      <c r="J42" s="1603">
        <v>52</v>
      </c>
      <c r="K42" s="1598"/>
      <c r="L42" s="1596" t="s">
        <v>920</v>
      </c>
      <c r="M42" s="1599">
        <v>2</v>
      </c>
      <c r="N42" s="1599"/>
      <c r="O42" s="1597">
        <v>43724</v>
      </c>
    </row>
    <row r="43" spans="1:15">
      <c r="A43" s="1023" t="s">
        <v>1361</v>
      </c>
      <c r="B43" s="1596" t="s">
        <v>1647</v>
      </c>
      <c r="C43" s="1601" t="s">
        <v>923</v>
      </c>
      <c r="D43" s="1600">
        <v>43724</v>
      </c>
      <c r="E43" s="1600">
        <v>43724</v>
      </c>
      <c r="F43" s="1607" t="s">
        <v>924</v>
      </c>
      <c r="G43" s="1596" t="s">
        <v>719</v>
      </c>
      <c r="H43" s="1602" t="s">
        <v>925</v>
      </c>
      <c r="I43" s="1613">
        <v>2.4</v>
      </c>
      <c r="J43" s="1614">
        <v>2.4</v>
      </c>
      <c r="K43" s="1613" t="s">
        <v>926</v>
      </c>
      <c r="L43" s="1596" t="s">
        <v>917</v>
      </c>
      <c r="M43" s="1615">
        <v>0.26</v>
      </c>
      <c r="N43" s="1599">
        <v>4</v>
      </c>
      <c r="O43" s="1597">
        <v>43728</v>
      </c>
    </row>
    <row r="44" spans="1:15">
      <c r="A44" s="1023" t="s">
        <v>1361</v>
      </c>
      <c r="B44" s="1596" t="s">
        <v>1648</v>
      </c>
      <c r="C44" s="1601" t="s">
        <v>929</v>
      </c>
      <c r="D44" s="1600">
        <v>43724</v>
      </c>
      <c r="E44" s="1600">
        <v>43724</v>
      </c>
      <c r="F44" s="1596" t="s">
        <v>927</v>
      </c>
      <c r="G44" s="1596" t="s">
        <v>719</v>
      </c>
      <c r="H44" s="1602" t="s">
        <v>928</v>
      </c>
      <c r="I44" s="1598">
        <v>64</v>
      </c>
      <c r="J44" s="1603">
        <v>64</v>
      </c>
      <c r="K44" s="1598"/>
      <c r="L44" s="1596" t="s">
        <v>920</v>
      </c>
      <c r="M44" s="1599">
        <v>2</v>
      </c>
      <c r="N44" s="1599"/>
      <c r="O44" s="1597">
        <v>43724</v>
      </c>
    </row>
    <row r="45" spans="1:15">
      <c r="A45" s="1023" t="s">
        <v>1360</v>
      </c>
      <c r="B45" s="1596" t="s">
        <v>1648</v>
      </c>
      <c r="C45" s="1601" t="s">
        <v>929</v>
      </c>
      <c r="D45" s="1600">
        <v>43724</v>
      </c>
      <c r="E45" s="1600">
        <v>43724</v>
      </c>
      <c r="F45" s="1607" t="s">
        <v>924</v>
      </c>
      <c r="G45" s="1596" t="s">
        <v>719</v>
      </c>
      <c r="H45" s="1602" t="s">
        <v>925</v>
      </c>
      <c r="I45" s="1613">
        <v>2</v>
      </c>
      <c r="J45" s="1614">
        <v>2</v>
      </c>
      <c r="K45" s="1613" t="s">
        <v>926</v>
      </c>
      <c r="L45" s="1596" t="s">
        <v>917</v>
      </c>
      <c r="M45" s="1615">
        <v>0.26</v>
      </c>
      <c r="N45" s="1599">
        <v>4</v>
      </c>
      <c r="O45" s="1597">
        <v>43728</v>
      </c>
    </row>
    <row r="46" spans="1:15">
      <c r="A46" s="1023" t="s">
        <v>1360</v>
      </c>
    </row>
    <row r="47" spans="1:15">
      <c r="A47" s="1023"/>
    </row>
    <row r="48" spans="1:15">
      <c r="A48" s="1023" t="s">
        <v>1363</v>
      </c>
      <c r="B48" s="1027"/>
      <c r="C48" s="1026"/>
      <c r="D48" s="1026"/>
      <c r="E48" s="1027"/>
      <c r="F48" s="1023"/>
      <c r="G48" s="1028"/>
      <c r="H48" s="1216"/>
      <c r="I48" s="1035"/>
      <c r="J48" s="1023"/>
      <c r="K48" s="1023"/>
      <c r="L48" s="1029"/>
      <c r="M48" s="1025"/>
      <c r="N48" s="1024"/>
    </row>
    <row r="49" spans="1:14">
      <c r="A49" s="1023" t="s">
        <v>1364</v>
      </c>
      <c r="B49" s="1027"/>
      <c r="C49" s="1026"/>
      <c r="D49" s="1026"/>
      <c r="E49" s="1023"/>
      <c r="F49" s="1023"/>
      <c r="G49" s="1028"/>
      <c r="H49" s="1023"/>
      <c r="I49" s="1027"/>
      <c r="J49" s="1023"/>
      <c r="K49" s="1023"/>
      <c r="L49" s="1025"/>
      <c r="M49" s="1025"/>
      <c r="N49" s="1024"/>
    </row>
    <row r="50" spans="1:14">
      <c r="A50" s="1023" t="s">
        <v>1364</v>
      </c>
      <c r="B50" s="1027"/>
      <c r="C50" s="1026"/>
      <c r="D50" s="18">
        <v>43472</v>
      </c>
      <c r="E50" s="18">
        <v>43507</v>
      </c>
      <c r="F50" s="18">
        <v>43545</v>
      </c>
      <c r="G50" s="18">
        <v>43563</v>
      </c>
      <c r="H50" s="18">
        <v>43591</v>
      </c>
      <c r="I50" s="18">
        <v>43626</v>
      </c>
      <c r="J50" s="18">
        <v>43690</v>
      </c>
      <c r="K50" s="18">
        <v>43724</v>
      </c>
      <c r="L50" s="1029"/>
      <c r="M50" s="1025"/>
      <c r="N50" s="1024"/>
    </row>
    <row r="51" spans="1:14">
      <c r="A51" s="1023" t="s">
        <v>1362</v>
      </c>
      <c r="B51" s="1027" t="s">
        <v>1858</v>
      </c>
      <c r="C51" s="626" t="s">
        <v>204</v>
      </c>
      <c r="D51" s="1832">
        <v>92</v>
      </c>
      <c r="E51" s="1023">
        <v>88</v>
      </c>
      <c r="F51" s="227">
        <v>116</v>
      </c>
      <c r="G51" s="1832">
        <v>92</v>
      </c>
      <c r="H51" s="1832">
        <v>76</v>
      </c>
      <c r="I51" s="1832">
        <v>38</v>
      </c>
      <c r="J51" s="1832">
        <v>40</v>
      </c>
      <c r="K51" s="1832">
        <v>52</v>
      </c>
      <c r="L51" s="1025"/>
      <c r="M51" s="1025"/>
      <c r="N51" s="1024"/>
    </row>
    <row r="52" spans="1:14">
      <c r="A52" s="1023" t="s">
        <v>1362</v>
      </c>
      <c r="B52" s="1027"/>
      <c r="C52" s="628" t="s">
        <v>1387</v>
      </c>
      <c r="D52" s="1713">
        <v>600</v>
      </c>
      <c r="E52" s="1027">
        <v>590</v>
      </c>
      <c r="F52" s="227">
        <v>650</v>
      </c>
      <c r="G52" s="1713">
        <v>126</v>
      </c>
      <c r="H52" s="1713">
        <v>740</v>
      </c>
      <c r="I52" s="1713">
        <v>604</v>
      </c>
      <c r="J52" s="1713"/>
      <c r="K52" s="1713"/>
      <c r="L52" s="1029"/>
      <c r="M52" s="1025"/>
      <c r="N52" s="1024"/>
    </row>
    <row r="53" spans="1:14">
      <c r="B53" s="60"/>
      <c r="C53" s="442" t="s">
        <v>950</v>
      </c>
      <c r="D53" s="1832">
        <v>156</v>
      </c>
      <c r="E53" s="435">
        <v>136</v>
      </c>
      <c r="F53" s="227">
        <v>160</v>
      </c>
      <c r="G53" s="1832">
        <v>126</v>
      </c>
      <c r="H53" s="1832">
        <v>112</v>
      </c>
      <c r="I53" s="1832">
        <v>56</v>
      </c>
      <c r="J53" s="1832">
        <v>44</v>
      </c>
      <c r="K53" s="1832">
        <v>64</v>
      </c>
      <c r="L53" s="174"/>
      <c r="M53" s="174"/>
      <c r="N53" s="175"/>
    </row>
    <row r="54" spans="1:14">
      <c r="A54" s="1023" t="s">
        <v>1366</v>
      </c>
      <c r="B54" s="1027" t="s">
        <v>1857</v>
      </c>
      <c r="C54" s="626" t="s">
        <v>204</v>
      </c>
      <c r="D54" s="1713">
        <v>3</v>
      </c>
      <c r="E54" s="1023">
        <v>1.6</v>
      </c>
      <c r="F54" s="227">
        <v>3.7</v>
      </c>
      <c r="G54" s="1713">
        <v>7.3</v>
      </c>
      <c r="H54" s="1713">
        <v>1.5</v>
      </c>
      <c r="I54" s="1713">
        <v>1.3</v>
      </c>
      <c r="J54" s="1713">
        <v>1.1000000000000001</v>
      </c>
      <c r="K54" s="1713">
        <v>2.4</v>
      </c>
      <c r="L54" s="1025"/>
      <c r="M54" s="1025"/>
      <c r="N54" s="1024"/>
    </row>
    <row r="55" spans="1:14">
      <c r="A55" s="1023" t="s">
        <v>1366</v>
      </c>
      <c r="B55" s="1027"/>
      <c r="C55" s="628" t="s">
        <v>1387</v>
      </c>
      <c r="D55" s="1832">
        <v>2.2000000000000002</v>
      </c>
      <c r="E55" s="1027">
        <v>1.3</v>
      </c>
      <c r="F55" s="227">
        <v>4.3</v>
      </c>
      <c r="G55" s="1832">
        <v>7.2</v>
      </c>
      <c r="H55" s="1832">
        <v>1.3</v>
      </c>
      <c r="I55" s="1832">
        <v>2.1</v>
      </c>
      <c r="J55" s="1832"/>
      <c r="K55" s="1023"/>
      <c r="L55" s="1029"/>
      <c r="M55" s="1025"/>
      <c r="N55" s="1024"/>
    </row>
    <row r="56" spans="1:14">
      <c r="A56" s="1023" t="s">
        <v>1367</v>
      </c>
      <c r="B56" s="1027"/>
      <c r="C56" s="442" t="s">
        <v>950</v>
      </c>
      <c r="D56" s="1713">
        <v>2.5</v>
      </c>
      <c r="E56" s="1023">
        <v>1.7</v>
      </c>
      <c r="F56" s="227">
        <v>3.5</v>
      </c>
      <c r="G56" s="1713">
        <v>6.5</v>
      </c>
      <c r="H56" s="1713">
        <v>1.6</v>
      </c>
      <c r="I56" s="1713">
        <v>5.6</v>
      </c>
      <c r="J56" s="1713">
        <v>1.2</v>
      </c>
      <c r="K56" s="1023">
        <v>2.2000000000000002</v>
      </c>
      <c r="L56" s="1025"/>
      <c r="M56" s="1025"/>
      <c r="N56" s="1024"/>
    </row>
    <row r="57" spans="1:14">
      <c r="A57" s="1023" t="s">
        <v>1367</v>
      </c>
      <c r="B57" s="1027"/>
      <c r="C57" s="1026"/>
      <c r="D57" s="1026"/>
      <c r="E57" s="1027"/>
      <c r="F57" s="1023"/>
      <c r="G57" s="1028"/>
      <c r="H57" s="1023"/>
      <c r="I57" s="1027"/>
      <c r="J57" s="1023"/>
      <c r="K57" s="1023"/>
      <c r="L57" s="1029"/>
      <c r="M57" s="1025"/>
      <c r="N57" s="1024"/>
    </row>
    <row r="58" spans="1:14">
      <c r="A58" s="1023" t="s">
        <v>1365</v>
      </c>
      <c r="B58" s="1027"/>
      <c r="C58" s="1026"/>
      <c r="D58" s="1026"/>
      <c r="E58" s="1023"/>
      <c r="F58" s="1023"/>
      <c r="G58" s="1028"/>
      <c r="H58" s="1023"/>
      <c r="I58" s="1027"/>
      <c r="J58" s="1023"/>
      <c r="K58" s="1023"/>
      <c r="L58" s="1025"/>
      <c r="M58" s="1025"/>
      <c r="N58" s="1024"/>
    </row>
    <row r="59" spans="1:14">
      <c r="A59" s="1023" t="s">
        <v>1365</v>
      </c>
      <c r="B59" s="1027"/>
      <c r="C59" s="1026"/>
      <c r="D59" s="1026"/>
      <c r="E59" s="1027"/>
      <c r="F59" s="1023"/>
      <c r="G59" s="1028"/>
      <c r="H59" s="1023"/>
      <c r="I59" s="1027"/>
      <c r="J59" s="1023"/>
      <c r="K59" s="1023"/>
      <c r="L59" s="1029"/>
      <c r="M59" s="1025"/>
      <c r="N59" s="1024"/>
    </row>
    <row r="60" spans="1:14">
      <c r="A60" s="505"/>
      <c r="B60" s="507"/>
      <c r="C60" s="506"/>
      <c r="D60" s="506"/>
      <c r="E60" s="507"/>
      <c r="F60" s="505"/>
      <c r="G60" s="507"/>
      <c r="H60" s="505"/>
      <c r="I60" s="507"/>
      <c r="J60" s="505"/>
      <c r="K60" s="505"/>
      <c r="L60" s="1054"/>
      <c r="M60" s="1049"/>
      <c r="N60" s="566"/>
    </row>
    <row r="61" spans="1:14">
      <c r="A61" s="505" t="s">
        <v>1369</v>
      </c>
      <c r="B61" s="507"/>
      <c r="C61" s="506"/>
      <c r="D61" s="506"/>
      <c r="E61" s="505"/>
      <c r="F61" s="505"/>
      <c r="G61" s="507"/>
      <c r="H61" s="505"/>
      <c r="I61" s="507"/>
      <c r="J61" s="505"/>
      <c r="K61" s="505"/>
      <c r="L61" s="1049"/>
      <c r="M61" s="1049"/>
      <c r="N61" s="566"/>
    </row>
    <row r="62" spans="1:14">
      <c r="A62" s="505" t="s">
        <v>1369</v>
      </c>
      <c r="B62" s="507"/>
      <c r="C62" s="506"/>
      <c r="D62" s="506"/>
      <c r="E62" s="507"/>
      <c r="F62" s="505"/>
      <c r="G62" s="507"/>
      <c r="H62" s="505"/>
      <c r="I62" s="507"/>
      <c r="J62" s="505"/>
      <c r="K62" s="505"/>
      <c r="L62" s="1054"/>
      <c r="M62" s="1049"/>
      <c r="N62" s="566"/>
    </row>
    <row r="63" spans="1:14">
      <c r="A63" s="505" t="s">
        <v>1370</v>
      </c>
      <c r="B63" s="507"/>
      <c r="C63" s="506"/>
      <c r="D63" s="506"/>
      <c r="E63" s="505"/>
      <c r="F63" s="505"/>
      <c r="G63" s="507"/>
      <c r="H63" s="505"/>
      <c r="I63" s="507"/>
      <c r="J63" s="505"/>
      <c r="K63" s="505"/>
      <c r="L63" s="1049"/>
      <c r="M63" s="1049"/>
      <c r="N63" s="566"/>
    </row>
    <row r="64" spans="1:14">
      <c r="A64" s="505" t="s">
        <v>1370</v>
      </c>
      <c r="B64" s="507"/>
      <c r="C64" s="506"/>
      <c r="D64" s="506"/>
      <c r="E64" s="507"/>
      <c r="F64" s="505"/>
      <c r="G64" s="507"/>
      <c r="H64" s="505"/>
      <c r="I64" s="507"/>
      <c r="J64" s="505"/>
      <c r="K64" s="505"/>
      <c r="L64" s="1054"/>
      <c r="M64" s="1049"/>
      <c r="N64" s="566"/>
    </row>
    <row r="65" spans="1:15">
      <c r="A65" s="505" t="s">
        <v>1368</v>
      </c>
      <c r="B65" s="507"/>
      <c r="C65" s="506"/>
      <c r="D65" s="506"/>
      <c r="E65" s="505"/>
      <c r="F65" s="505"/>
      <c r="G65" s="507"/>
      <c r="H65" s="505"/>
      <c r="I65" s="507"/>
      <c r="J65" s="505"/>
      <c r="K65" s="505"/>
      <c r="L65" s="1049"/>
      <c r="M65" s="1049"/>
      <c r="N65" s="566"/>
      <c r="O65" s="1023"/>
    </row>
    <row r="66" spans="1:15">
      <c r="A66" s="505" t="s">
        <v>1368</v>
      </c>
      <c r="B66" s="507"/>
      <c r="C66" s="506"/>
      <c r="D66" s="506"/>
      <c r="E66" s="507"/>
      <c r="F66" s="505"/>
      <c r="G66" s="507"/>
      <c r="H66" s="505"/>
      <c r="I66" s="507"/>
      <c r="J66" s="505"/>
      <c r="K66" s="505"/>
      <c r="L66" s="1054"/>
      <c r="M66" s="1049"/>
      <c r="N66" s="566"/>
      <c r="O66" s="1023"/>
    </row>
    <row r="67" spans="1:15">
      <c r="B67" s="1027"/>
      <c r="C67" s="1026"/>
      <c r="D67" s="1027"/>
      <c r="E67" s="1023"/>
      <c r="G67" s="1027"/>
      <c r="H67" s="1026"/>
      <c r="I67" s="1027"/>
      <c r="J67" s="1023"/>
      <c r="L67" s="1027"/>
      <c r="M67" s="1026"/>
      <c r="N67" s="1027"/>
      <c r="O67" s="1023"/>
    </row>
    <row r="68" spans="1:15">
      <c r="A68" s="505" t="s">
        <v>1372</v>
      </c>
      <c r="B68" s="507"/>
      <c r="C68" s="506"/>
      <c r="D68" s="506"/>
      <c r="E68" s="505"/>
      <c r="F68" s="505"/>
      <c r="G68" s="507"/>
      <c r="H68" s="505"/>
      <c r="I68" s="507"/>
      <c r="J68" s="505"/>
      <c r="K68" s="505"/>
      <c r="L68" s="1049"/>
      <c r="M68" s="1049"/>
      <c r="N68" s="566"/>
      <c r="O68" s="227"/>
    </row>
    <row r="69" spans="1:15">
      <c r="A69" s="505" t="s">
        <v>1372</v>
      </c>
      <c r="B69" s="507"/>
      <c r="C69" s="506"/>
      <c r="D69" s="506"/>
      <c r="E69" s="507"/>
      <c r="F69" s="505"/>
      <c r="G69" s="507"/>
      <c r="H69" s="505"/>
      <c r="I69" s="507"/>
      <c r="J69" s="505"/>
      <c r="K69" s="505"/>
      <c r="L69" s="1054"/>
      <c r="M69" s="1049"/>
      <c r="N69" s="566"/>
      <c r="O69" s="227"/>
    </row>
    <row r="70" spans="1:15">
      <c r="A70" s="505" t="s">
        <v>1373</v>
      </c>
      <c r="B70" s="507"/>
      <c r="C70" s="506"/>
      <c r="D70" s="506"/>
      <c r="E70" s="505"/>
      <c r="F70" s="505"/>
      <c r="G70" s="507"/>
      <c r="H70" s="505"/>
      <c r="I70" s="507"/>
      <c r="J70" s="505"/>
      <c r="K70" s="505"/>
      <c r="L70" s="1049"/>
      <c r="M70" s="1049"/>
      <c r="N70" s="566"/>
      <c r="O70" s="227"/>
    </row>
    <row r="71" spans="1:15">
      <c r="A71" s="505" t="s">
        <v>1373</v>
      </c>
      <c r="B71" s="507"/>
      <c r="C71" s="506"/>
      <c r="D71" s="506"/>
      <c r="E71" s="507"/>
      <c r="F71" s="505"/>
      <c r="G71" s="507"/>
      <c r="H71" s="505"/>
      <c r="I71" s="507"/>
      <c r="J71" s="505"/>
      <c r="K71" s="505"/>
      <c r="L71" s="1054"/>
      <c r="M71" s="1049"/>
      <c r="N71" s="566"/>
      <c r="O71" s="1023"/>
    </row>
    <row r="72" spans="1:15">
      <c r="A72" s="505" t="s">
        <v>1371</v>
      </c>
      <c r="B72" s="507"/>
      <c r="C72" s="506"/>
      <c r="D72" s="506"/>
      <c r="E72" s="505"/>
      <c r="F72" s="505"/>
      <c r="G72" s="507"/>
      <c r="H72" s="505"/>
      <c r="I72" s="507"/>
      <c r="J72" s="505"/>
      <c r="K72" s="505"/>
      <c r="L72" s="1049"/>
      <c r="M72" s="1049"/>
      <c r="N72" s="566"/>
    </row>
    <row r="73" spans="1:15">
      <c r="A73" s="505" t="s">
        <v>1371</v>
      </c>
      <c r="B73" s="507"/>
      <c r="C73" s="506"/>
      <c r="D73" s="506"/>
      <c r="E73" s="507"/>
      <c r="F73" s="505"/>
      <c r="G73" s="507"/>
      <c r="H73" s="505"/>
      <c r="I73" s="507"/>
      <c r="J73" s="505"/>
      <c r="K73" s="505"/>
      <c r="L73" s="1054"/>
      <c r="M73" s="1049"/>
      <c r="N73" s="566"/>
    </row>
    <row r="74" spans="1:15">
      <c r="A74" s="1023"/>
      <c r="B74" s="1027"/>
      <c r="C74" s="1026"/>
      <c r="D74" s="1026"/>
      <c r="E74" s="1027"/>
      <c r="F74" s="1023"/>
      <c r="G74" s="1028"/>
      <c r="H74" s="1023"/>
      <c r="I74" s="1027"/>
      <c r="J74" s="1023"/>
      <c r="K74" s="1023"/>
      <c r="L74" s="1029"/>
      <c r="M74" s="1025"/>
      <c r="N74" s="1024"/>
    </row>
    <row r="75" spans="1:15">
      <c r="A75" s="505" t="s">
        <v>1375</v>
      </c>
      <c r="B75" s="507"/>
      <c r="C75" s="506"/>
      <c r="D75" s="506"/>
      <c r="E75" s="505"/>
      <c r="F75" s="505"/>
      <c r="G75" s="507"/>
      <c r="H75" s="505"/>
      <c r="I75" s="507"/>
      <c r="J75" s="505"/>
      <c r="K75" s="505"/>
      <c r="L75" s="1049"/>
      <c r="M75" s="1049"/>
      <c r="N75" s="566"/>
    </row>
    <row r="76" spans="1:15">
      <c r="A76" s="505" t="s">
        <v>1375</v>
      </c>
      <c r="B76" s="507"/>
      <c r="C76" s="506"/>
      <c r="D76" s="506"/>
      <c r="E76" s="507"/>
      <c r="F76" s="505"/>
      <c r="G76" s="507"/>
      <c r="H76" s="505"/>
      <c r="I76" s="507"/>
      <c r="J76" s="505"/>
      <c r="K76" s="505"/>
      <c r="L76" s="1054"/>
      <c r="M76" s="1049"/>
      <c r="N76" s="566"/>
    </row>
    <row r="77" spans="1:15">
      <c r="A77" s="505" t="s">
        <v>1376</v>
      </c>
      <c r="B77" s="507"/>
      <c r="C77" s="506"/>
      <c r="D77" s="506"/>
      <c r="E77" s="505"/>
      <c r="F77" s="505"/>
      <c r="G77" s="507"/>
      <c r="H77" s="505"/>
      <c r="I77" s="507"/>
      <c r="J77" s="505"/>
      <c r="K77" s="505"/>
      <c r="L77" s="1049"/>
      <c r="M77" s="1049"/>
      <c r="N77" s="566"/>
    </row>
    <row r="78" spans="1:15">
      <c r="A78" s="505" t="s">
        <v>1376</v>
      </c>
      <c r="B78" s="507"/>
      <c r="C78" s="506"/>
      <c r="D78" s="506"/>
      <c r="E78" s="507"/>
      <c r="F78" s="505"/>
      <c r="G78" s="507"/>
      <c r="H78" s="505"/>
      <c r="I78" s="507"/>
      <c r="J78" s="505"/>
      <c r="K78" s="505"/>
      <c r="L78" s="1054"/>
      <c r="M78" s="1049"/>
      <c r="N78" s="566"/>
    </row>
    <row r="79" spans="1:15">
      <c r="A79" s="505" t="s">
        <v>1374</v>
      </c>
      <c r="B79" s="507"/>
      <c r="C79" s="506"/>
      <c r="D79" s="506"/>
      <c r="E79" s="505"/>
      <c r="F79" s="505"/>
      <c r="G79" s="507"/>
      <c r="H79" s="505"/>
      <c r="I79" s="507"/>
      <c r="J79" s="505"/>
      <c r="K79" s="505"/>
      <c r="L79" s="1049"/>
      <c r="M79" s="1049"/>
      <c r="N79" s="566"/>
    </row>
    <row r="80" spans="1:15">
      <c r="A80" s="505" t="s">
        <v>1374</v>
      </c>
      <c r="B80" s="507"/>
      <c r="C80" s="506"/>
      <c r="D80" s="506"/>
      <c r="E80" s="507"/>
      <c r="F80" s="505"/>
      <c r="G80" s="507"/>
      <c r="H80" s="505"/>
      <c r="I80" s="507"/>
      <c r="J80" s="505"/>
      <c r="K80" s="505"/>
      <c r="L80" s="1054"/>
      <c r="M80" s="1049"/>
      <c r="N80" s="566"/>
    </row>
    <row r="82" spans="2:14">
      <c r="B82" s="507" t="s">
        <v>965</v>
      </c>
    </row>
    <row r="83" spans="2:14">
      <c r="C83" s="18">
        <v>43108</v>
      </c>
      <c r="D83" s="18">
        <v>43143</v>
      </c>
      <c r="E83" s="18">
        <v>43178</v>
      </c>
      <c r="F83" s="18">
        <v>43199</v>
      </c>
      <c r="G83" s="18">
        <v>43234</v>
      </c>
      <c r="H83" s="18">
        <v>43262</v>
      </c>
      <c r="I83" s="18">
        <v>43290</v>
      </c>
      <c r="J83" s="18">
        <v>43319</v>
      </c>
      <c r="K83" s="18">
        <v>43353</v>
      </c>
      <c r="L83" s="18">
        <v>43388</v>
      </c>
      <c r="M83" s="18">
        <v>43409</v>
      </c>
      <c r="N83" s="18">
        <v>43444</v>
      </c>
    </row>
    <row r="84" spans="2:14">
      <c r="B84" s="507" t="s">
        <v>923</v>
      </c>
      <c r="C84" s="227"/>
      <c r="D84" s="1023"/>
      <c r="E84" s="1023"/>
      <c r="F84" s="1023"/>
      <c r="G84" s="1023"/>
      <c r="H84" s="1023"/>
      <c r="I84" s="1023"/>
      <c r="J84" s="1023"/>
      <c r="K84" s="1023"/>
      <c r="L84" s="505"/>
      <c r="M84" s="505"/>
      <c r="N84" s="505"/>
    </row>
    <row r="85" spans="2:14">
      <c r="B85" s="507" t="s">
        <v>929</v>
      </c>
      <c r="C85" s="227"/>
      <c r="D85" s="1023"/>
      <c r="E85" s="1023"/>
      <c r="F85" s="1023"/>
      <c r="G85" s="1023"/>
      <c r="H85" s="1023"/>
      <c r="I85" s="227"/>
      <c r="J85" s="1023"/>
      <c r="K85" s="1023"/>
      <c r="L85" s="505"/>
      <c r="M85" s="505"/>
      <c r="N85" s="505"/>
    </row>
    <row r="86" spans="2:14">
      <c r="B86" s="507" t="s">
        <v>1224</v>
      </c>
      <c r="C86" s="227"/>
      <c r="D86" s="1023"/>
      <c r="E86" s="1023"/>
      <c r="F86" s="1023"/>
      <c r="G86" s="1023"/>
      <c r="H86" s="1023"/>
      <c r="I86" s="1023"/>
      <c r="J86" s="1023"/>
      <c r="K86" s="1023"/>
      <c r="L86" s="505"/>
      <c r="M86" s="505"/>
      <c r="N86" s="505"/>
    </row>
    <row r="87" spans="2:14">
      <c r="B87" s="507" t="s">
        <v>1388</v>
      </c>
    </row>
    <row r="88" spans="2:14">
      <c r="C88" s="18">
        <v>43108</v>
      </c>
      <c r="D88" s="18">
        <v>43143</v>
      </c>
      <c r="E88" s="18">
        <v>43178</v>
      </c>
      <c r="F88" s="18">
        <v>43199</v>
      </c>
      <c r="G88" s="18">
        <v>43234</v>
      </c>
      <c r="H88" s="18">
        <v>43262</v>
      </c>
      <c r="I88" s="18">
        <v>43290</v>
      </c>
      <c r="J88" s="18">
        <v>43319</v>
      </c>
      <c r="K88" s="18">
        <v>43353</v>
      </c>
      <c r="L88" s="18">
        <v>43388</v>
      </c>
      <c r="M88" s="18">
        <v>43409</v>
      </c>
      <c r="N88" s="18">
        <v>43444</v>
      </c>
    </row>
    <row r="89" spans="2:14">
      <c r="B89" s="507" t="s">
        <v>923</v>
      </c>
      <c r="C89" s="227">
        <v>1.5</v>
      </c>
      <c r="D89" s="1023">
        <v>2</v>
      </c>
      <c r="E89" s="1023">
        <v>1.8</v>
      </c>
      <c r="F89" s="1023">
        <v>1.4</v>
      </c>
      <c r="G89" s="1023">
        <v>1.5</v>
      </c>
      <c r="H89" s="1023">
        <v>1.8</v>
      </c>
      <c r="I89" s="1023">
        <v>4.7</v>
      </c>
      <c r="J89" s="1216">
        <v>2</v>
      </c>
      <c r="K89" s="1023">
        <v>1.4</v>
      </c>
      <c r="L89" s="505">
        <v>1.6</v>
      </c>
      <c r="M89" s="505">
        <v>2.2999999999999998</v>
      </c>
      <c r="N89" s="505">
        <v>1.7</v>
      </c>
    </row>
    <row r="90" spans="2:14">
      <c r="B90" s="507" t="s">
        <v>929</v>
      </c>
      <c r="C90" s="227">
        <v>1.7</v>
      </c>
      <c r="D90" s="1023">
        <v>2.1</v>
      </c>
      <c r="E90" s="1023">
        <v>1.8</v>
      </c>
      <c r="F90" s="1023">
        <v>1.5</v>
      </c>
      <c r="G90" s="1023">
        <v>1.6</v>
      </c>
      <c r="H90" s="1023">
        <v>1.4</v>
      </c>
      <c r="I90" s="158">
        <v>4.9000000000000004</v>
      </c>
      <c r="J90" s="1023">
        <v>2.2999999999999998</v>
      </c>
      <c r="K90" s="1023">
        <v>1.4</v>
      </c>
      <c r="L90" s="505">
        <v>2</v>
      </c>
      <c r="M90" s="505">
        <v>2.2000000000000002</v>
      </c>
      <c r="N90" s="505">
        <v>1.9</v>
      </c>
    </row>
    <row r="91" spans="2:14">
      <c r="B91" s="507" t="s">
        <v>1224</v>
      </c>
      <c r="C91" s="227">
        <v>1.4</v>
      </c>
      <c r="D91" s="1023">
        <v>1.9</v>
      </c>
      <c r="E91" s="1023">
        <v>2.4</v>
      </c>
      <c r="F91" s="1023">
        <v>1.6</v>
      </c>
      <c r="G91" s="1023">
        <v>2.4</v>
      </c>
      <c r="H91" s="1023">
        <v>1.8</v>
      </c>
      <c r="I91" s="1023">
        <v>1.4</v>
      </c>
      <c r="J91" s="1216">
        <v>2</v>
      </c>
      <c r="K91" s="1023">
        <v>1.1000000000000001</v>
      </c>
      <c r="L91" s="505">
        <v>1.5</v>
      </c>
      <c r="M91" s="505">
        <v>2.2000000000000002</v>
      </c>
      <c r="N91" s="505">
        <v>1.5</v>
      </c>
    </row>
  </sheetData>
  <pageMargins left="0.7" right="0.7" top="0.75" bottom="0.75" header="0.3" footer="0.3"/>
  <pageSetup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59999389629810485"/>
  </sheetPr>
  <dimension ref="A1:N58"/>
  <sheetViews>
    <sheetView topLeftCell="A43" workbookViewId="0">
      <selection activeCell="A48" sqref="A48:L52"/>
    </sheetView>
  </sheetViews>
  <sheetFormatPr defaultRowHeight="14"/>
  <cols>
    <col min="1" max="1" width="6.6328125" customWidth="1"/>
    <col min="2" max="2" width="9.1796875" bestFit="1" customWidth="1"/>
    <col min="3" max="3" width="16.26953125" bestFit="1" customWidth="1"/>
    <col min="4" max="4" width="10.81640625" bestFit="1" customWidth="1"/>
    <col min="5" max="5" width="7.08984375" customWidth="1"/>
    <col min="6" max="6" width="8" bestFit="1" customWidth="1"/>
    <col min="7" max="7" width="7.26953125" bestFit="1" customWidth="1"/>
    <col min="8" max="8" width="9.1796875" bestFit="1" customWidth="1"/>
    <col min="9" max="9" width="6.1796875" bestFit="1" customWidth="1"/>
    <col min="10" max="10" width="6.81640625" bestFit="1" customWidth="1"/>
    <col min="11" max="11" width="6.453125" bestFit="1" customWidth="1"/>
    <col min="12" max="12" width="6.6328125" bestFit="1" customWidth="1"/>
    <col min="13" max="13" width="7.6328125" bestFit="1" customWidth="1"/>
    <col min="14" max="14" width="12.7265625" bestFit="1" customWidth="1"/>
  </cols>
  <sheetData>
    <row r="1" spans="1:14" ht="14" customHeight="1"/>
    <row r="2" spans="1:14" ht="14" customHeight="1">
      <c r="A2" s="464"/>
      <c r="B2" s="464"/>
      <c r="C2" s="464"/>
      <c r="D2" s="2410" t="s">
        <v>953</v>
      </c>
      <c r="E2" s="2411"/>
      <c r="F2" s="2411"/>
      <c r="G2" s="2411"/>
      <c r="H2" s="2411"/>
      <c r="I2" s="2411"/>
      <c r="J2" s="2411"/>
      <c r="K2" s="2411"/>
    </row>
    <row r="3" spans="1:14" ht="23">
      <c r="A3" s="450" t="s">
        <v>232</v>
      </c>
      <c r="B3" s="624" t="s">
        <v>210</v>
      </c>
      <c r="C3" s="625" t="s">
        <v>211</v>
      </c>
      <c r="D3" s="2146">
        <v>43472</v>
      </c>
      <c r="E3" s="2146">
        <v>43507</v>
      </c>
      <c r="F3" s="2146">
        <v>43545</v>
      </c>
      <c r="G3" s="2146">
        <v>43563</v>
      </c>
      <c r="H3" s="2146">
        <v>43591</v>
      </c>
      <c r="I3" s="2146">
        <v>43626</v>
      </c>
      <c r="J3" s="2146">
        <v>43690</v>
      </c>
      <c r="K3" s="2146">
        <v>43724</v>
      </c>
      <c r="L3" s="450" t="s">
        <v>15</v>
      </c>
      <c r="M3" s="630" t="s">
        <v>968</v>
      </c>
    </row>
    <row r="4" spans="1:14" ht="23">
      <c r="A4" s="442" t="s">
        <v>992</v>
      </c>
      <c r="B4" s="626" t="s">
        <v>204</v>
      </c>
      <c r="C4" s="627" t="s">
        <v>951</v>
      </c>
      <c r="D4" s="1770">
        <v>3</v>
      </c>
      <c r="E4" s="1986">
        <v>1.6</v>
      </c>
      <c r="F4" s="2149">
        <v>3.7</v>
      </c>
      <c r="G4" s="2147">
        <v>7.3</v>
      </c>
      <c r="H4" s="1770">
        <v>1.5</v>
      </c>
      <c r="I4" s="1770">
        <v>1.3</v>
      </c>
      <c r="J4" s="1770">
        <v>1.1000000000000001</v>
      </c>
      <c r="K4" s="1770">
        <v>2.4</v>
      </c>
      <c r="L4" s="1272">
        <f>AVERAGE(D4:K4)</f>
        <v>2.7375000000000003</v>
      </c>
      <c r="M4" s="1271">
        <f>STDEV(D4:K4)</f>
        <v>2.0528290583624198</v>
      </c>
    </row>
    <row r="5" spans="1:14" ht="23">
      <c r="A5" s="626" t="s">
        <v>915</v>
      </c>
      <c r="B5" s="628" t="s">
        <v>1387</v>
      </c>
      <c r="C5" s="627" t="s">
        <v>360</v>
      </c>
      <c r="D5" s="1717">
        <v>2.2000000000000002</v>
      </c>
      <c r="E5" s="1986">
        <v>1.3</v>
      </c>
      <c r="F5" s="1976">
        <v>4.3</v>
      </c>
      <c r="G5" s="2148">
        <v>7.2</v>
      </c>
      <c r="H5" s="1717">
        <v>1.3</v>
      </c>
      <c r="I5" s="1717">
        <v>2.1</v>
      </c>
      <c r="J5" s="1717"/>
      <c r="K5" s="1986"/>
      <c r="L5" s="1272">
        <f>AVERAGE(D6:K6)</f>
        <v>3.0999999999999996</v>
      </c>
      <c r="M5" s="1271">
        <f>STDEV(D6:K6)</f>
        <v>1.962505686979932</v>
      </c>
    </row>
    <row r="6" spans="1:14" ht="23">
      <c r="A6" s="442" t="s">
        <v>992</v>
      </c>
      <c r="B6" s="442" t="s">
        <v>950</v>
      </c>
      <c r="C6" s="442" t="s">
        <v>952</v>
      </c>
      <c r="D6" s="1770">
        <v>2.5</v>
      </c>
      <c r="E6" s="1986">
        <v>1.7</v>
      </c>
      <c r="F6" s="1976">
        <v>3.5</v>
      </c>
      <c r="G6" s="2147">
        <v>6.5</v>
      </c>
      <c r="H6" s="1770">
        <v>1.6</v>
      </c>
      <c r="I6" s="2147">
        <v>5.6</v>
      </c>
      <c r="J6" s="1770">
        <v>1.2</v>
      </c>
      <c r="K6" s="1986">
        <v>2.2000000000000002</v>
      </c>
      <c r="L6" s="1272">
        <f>AVERAGE(D5:K5)</f>
        <v>3.0666666666666669</v>
      </c>
      <c r="M6" s="1271">
        <f>STDEV(D5:K5)</f>
        <v>2.3036203390894654</v>
      </c>
    </row>
    <row r="7" spans="1:14" ht="14" customHeight="1">
      <c r="A7" s="442"/>
      <c r="B7" s="442"/>
      <c r="C7" s="442"/>
      <c r="D7" s="2412" t="s">
        <v>954</v>
      </c>
      <c r="E7" s="2413"/>
      <c r="F7" s="2413"/>
      <c r="G7" s="2413"/>
      <c r="H7" s="2413"/>
      <c r="I7" s="2413"/>
      <c r="J7" s="2413"/>
      <c r="K7" s="2413"/>
      <c r="L7" s="623"/>
      <c r="N7" s="668" t="s">
        <v>1028</v>
      </c>
    </row>
    <row r="8" spans="1:14" ht="23">
      <c r="A8" s="442" t="s">
        <v>992</v>
      </c>
      <c r="B8" s="626" t="s">
        <v>204</v>
      </c>
      <c r="C8" s="627" t="s">
        <v>951</v>
      </c>
      <c r="D8" s="1717">
        <v>92</v>
      </c>
      <c r="E8" s="1986">
        <v>88</v>
      </c>
      <c r="F8" s="1976">
        <v>116</v>
      </c>
      <c r="G8" s="1717">
        <v>92</v>
      </c>
      <c r="H8" s="1717">
        <v>76</v>
      </c>
      <c r="I8" s="1717">
        <v>38</v>
      </c>
      <c r="J8" s="1717">
        <v>40</v>
      </c>
      <c r="K8" s="1717">
        <v>52</v>
      </c>
      <c r="L8" s="547">
        <f>AVERAGE(D8:K8)</f>
        <v>74.25</v>
      </c>
      <c r="M8" s="629">
        <f>STDEV(D8:K8)</f>
        <v>28.151376520518493</v>
      </c>
      <c r="N8" s="669">
        <f>_xlfn.PERCENTILE.INC(D8:K8,0.05)</f>
        <v>38.700000000000003</v>
      </c>
    </row>
    <row r="9" spans="1:14" ht="23">
      <c r="A9" s="626" t="s">
        <v>915</v>
      </c>
      <c r="B9" s="628" t="s">
        <v>1387</v>
      </c>
      <c r="C9" s="627" t="s">
        <v>360</v>
      </c>
      <c r="D9" s="1770">
        <v>600</v>
      </c>
      <c r="E9" s="1986">
        <v>590</v>
      </c>
      <c r="F9" s="1976">
        <v>650</v>
      </c>
      <c r="G9" s="1770">
        <v>126</v>
      </c>
      <c r="H9" s="1770">
        <v>740</v>
      </c>
      <c r="I9" s="1770">
        <v>604</v>
      </c>
      <c r="J9" s="1770"/>
      <c r="K9" s="1770"/>
      <c r="L9" s="547">
        <f>AVERAGE(D9:K9)</f>
        <v>551.66666666666663</v>
      </c>
      <c r="M9" s="629">
        <f>STDEV(D9:K9)</f>
        <v>215.81257300413859</v>
      </c>
      <c r="N9" s="669">
        <f>_xlfn.PERCENTILE.INC(D9:K9,0.05)</f>
        <v>242</v>
      </c>
    </row>
    <row r="10" spans="1:14" ht="23">
      <c r="A10" s="442" t="s">
        <v>992</v>
      </c>
      <c r="B10" s="442" t="s">
        <v>950</v>
      </c>
      <c r="C10" s="442" t="s">
        <v>952</v>
      </c>
      <c r="D10" s="1717">
        <v>156</v>
      </c>
      <c r="E10" s="246">
        <v>136</v>
      </c>
      <c r="F10" s="1976">
        <v>160</v>
      </c>
      <c r="G10" s="1717">
        <v>126</v>
      </c>
      <c r="H10" s="1717">
        <v>112</v>
      </c>
      <c r="I10" s="1717">
        <v>56</v>
      </c>
      <c r="J10" s="1717">
        <v>44</v>
      </c>
      <c r="K10" s="1717">
        <v>64</v>
      </c>
      <c r="L10" s="547">
        <f>AVERAGE(D10:K10)</f>
        <v>106.75</v>
      </c>
      <c r="M10" s="629">
        <f>STDEV(D10:K10)</f>
        <v>46.067497063703016</v>
      </c>
      <c r="N10" s="669">
        <f>_xlfn.PERCENTILE.INC(D10:K10,0.05)</f>
        <v>48.2</v>
      </c>
    </row>
    <row r="13" spans="1:14" ht="23">
      <c r="A13" s="571" t="s">
        <v>955</v>
      </c>
      <c r="B13" s="571"/>
      <c r="C13" s="2417" t="s">
        <v>956</v>
      </c>
      <c r="D13" s="2417"/>
      <c r="E13" s="1104" t="s">
        <v>957</v>
      </c>
      <c r="F13" s="571" t="s">
        <v>958</v>
      </c>
    </row>
    <row r="14" spans="1:14">
      <c r="A14" s="567"/>
      <c r="B14" s="567" t="s">
        <v>959</v>
      </c>
      <c r="C14" s="567" t="s">
        <v>960</v>
      </c>
      <c r="D14" s="567" t="s">
        <v>961</v>
      </c>
      <c r="E14" s="567"/>
      <c r="F14" s="567" t="s">
        <v>962</v>
      </c>
    </row>
    <row r="15" spans="1:14" ht="14.5">
      <c r="A15" s="353" t="s">
        <v>963</v>
      </c>
      <c r="B15" s="568">
        <v>0</v>
      </c>
      <c r="C15" s="569">
        <v>7.01</v>
      </c>
      <c r="D15" s="570">
        <v>10.27</v>
      </c>
      <c r="E15" s="568">
        <v>1000</v>
      </c>
      <c r="F15" s="568">
        <v>200</v>
      </c>
    </row>
    <row r="17" spans="1:8">
      <c r="A17" s="436" t="s">
        <v>960</v>
      </c>
      <c r="B17" s="436"/>
      <c r="C17" s="436"/>
      <c r="D17" s="436"/>
      <c r="E17" s="436"/>
      <c r="F17" s="436"/>
    </row>
    <row r="18" spans="1:8">
      <c r="A18" s="436" t="s">
        <v>964</v>
      </c>
      <c r="B18" s="436"/>
      <c r="C18" s="436"/>
      <c r="D18" s="436"/>
      <c r="E18" s="436"/>
      <c r="F18" s="436"/>
    </row>
    <row r="19" spans="1:8">
      <c r="A19" s="436"/>
      <c r="B19" s="436" t="s">
        <v>965</v>
      </c>
      <c r="C19" s="436" t="s">
        <v>966</v>
      </c>
      <c r="D19" s="436"/>
      <c r="E19" s="436"/>
      <c r="F19" s="2419" t="s">
        <v>967</v>
      </c>
      <c r="G19" s="2419"/>
    </row>
    <row r="20" spans="1:8">
      <c r="A20" s="436"/>
      <c r="B20" s="436">
        <f>C27</f>
        <v>74.25</v>
      </c>
      <c r="C20" s="572">
        <f t="shared" ref="C20:C25" si="0">LN(B20)</f>
        <v>4.307437777682809</v>
      </c>
      <c r="D20" s="572">
        <f t="shared" ref="D20:D25" si="1">C20*0.819</f>
        <v>3.5277915399222204</v>
      </c>
      <c r="E20" s="572">
        <f t="shared" ref="E20:E25" si="2">D20-1.7428</f>
        <v>1.7849915399222205</v>
      </c>
      <c r="F20" s="573">
        <f t="shared" ref="F20:F25" si="3">EXP(E20)</f>
        <v>5.9595295292859696</v>
      </c>
    </row>
    <row r="21" spans="1:8">
      <c r="B21" s="436">
        <f>C28</f>
        <v>551.66666666666663</v>
      </c>
      <c r="C21" s="572">
        <f t="shared" si="0"/>
        <v>6.3129439991430534</v>
      </c>
      <c r="D21" s="572">
        <f t="shared" si="1"/>
        <v>5.1703011352981605</v>
      </c>
      <c r="E21" s="572">
        <f t="shared" si="2"/>
        <v>3.4275011352981606</v>
      </c>
      <c r="F21" s="573">
        <f t="shared" si="3"/>
        <v>30.79958251864328</v>
      </c>
    </row>
    <row r="22" spans="1:8">
      <c r="B22" s="436">
        <f>C29</f>
        <v>106.75</v>
      </c>
      <c r="C22" s="572">
        <f t="shared" si="0"/>
        <v>4.670489652108734</v>
      </c>
      <c r="D22" s="572">
        <f t="shared" si="1"/>
        <v>3.8251310250770527</v>
      </c>
      <c r="E22" s="572">
        <f t="shared" si="2"/>
        <v>2.0823310250770528</v>
      </c>
      <c r="F22" s="573">
        <f t="shared" si="3"/>
        <v>8.023149295824366</v>
      </c>
    </row>
    <row r="23" spans="1:8">
      <c r="B23" s="436">
        <f>N8</f>
        <v>38.700000000000003</v>
      </c>
      <c r="C23" s="572">
        <f t="shared" si="0"/>
        <v>3.655839600035736</v>
      </c>
      <c r="D23" s="572">
        <f t="shared" si="1"/>
        <v>2.9941326324292676</v>
      </c>
      <c r="E23" s="572">
        <f t="shared" si="2"/>
        <v>1.2513326324292677</v>
      </c>
      <c r="F23" s="573">
        <f t="shared" si="3"/>
        <v>3.4949974023194774</v>
      </c>
    </row>
    <row r="24" spans="1:8">
      <c r="B24" s="436">
        <f>N9</f>
        <v>242</v>
      </c>
      <c r="C24" s="572">
        <f t="shared" si="0"/>
        <v>5.4889377261566867</v>
      </c>
      <c r="D24" s="572">
        <f t="shared" si="1"/>
        <v>4.4954399977223263</v>
      </c>
      <c r="E24" s="572">
        <f t="shared" si="2"/>
        <v>2.7526399977223264</v>
      </c>
      <c r="F24" s="573">
        <f t="shared" si="3"/>
        <v>15.683982956084771</v>
      </c>
    </row>
    <row r="25" spans="1:8">
      <c r="B25" s="436">
        <f>N10</f>
        <v>48.2</v>
      </c>
      <c r="C25" s="572">
        <f t="shared" si="0"/>
        <v>3.8753590210565547</v>
      </c>
      <c r="D25" s="572">
        <f t="shared" si="1"/>
        <v>3.1739190382453182</v>
      </c>
      <c r="E25" s="572">
        <f t="shared" si="2"/>
        <v>1.4311190382453183</v>
      </c>
      <c r="F25" s="573">
        <f t="shared" si="3"/>
        <v>4.1833779334918217</v>
      </c>
    </row>
    <row r="26" spans="1:8" ht="46">
      <c r="B26" s="450" t="s">
        <v>9</v>
      </c>
      <c r="C26" s="450" t="s">
        <v>993</v>
      </c>
      <c r="D26" s="1105" t="s">
        <v>967</v>
      </c>
      <c r="E26" s="450" t="s">
        <v>995</v>
      </c>
      <c r="F26" s="450" t="s">
        <v>1028</v>
      </c>
      <c r="G26" s="1105" t="s">
        <v>967</v>
      </c>
      <c r="H26" s="450" t="s">
        <v>995</v>
      </c>
    </row>
    <row r="27" spans="1:8">
      <c r="B27" s="626" t="s">
        <v>204</v>
      </c>
      <c r="C27" s="358">
        <f>L8</f>
        <v>74.25</v>
      </c>
      <c r="D27" s="237">
        <f>F20</f>
        <v>5.9595295292859696</v>
      </c>
      <c r="E27" s="235">
        <v>8.31</v>
      </c>
      <c r="F27" s="670">
        <f>N8</f>
        <v>38.700000000000003</v>
      </c>
      <c r="G27" s="237">
        <f>F23</f>
        <v>3.4949974023194774</v>
      </c>
      <c r="H27" s="237">
        <v>5.9347939776771508</v>
      </c>
    </row>
    <row r="28" spans="1:8">
      <c r="B28" s="628" t="s">
        <v>1233</v>
      </c>
      <c r="C28" s="358">
        <f>L9</f>
        <v>551.66666666666663</v>
      </c>
      <c r="D28" s="237">
        <f>F21</f>
        <v>30.79958251864328</v>
      </c>
      <c r="E28" s="235">
        <v>57.18</v>
      </c>
      <c r="F28" s="670">
        <f>N9</f>
        <v>242</v>
      </c>
      <c r="G28" s="237">
        <f>F24</f>
        <v>15.683982956084771</v>
      </c>
      <c r="H28" s="237">
        <v>49.61820964452609</v>
      </c>
    </row>
    <row r="29" spans="1:8">
      <c r="B29" s="442" t="s">
        <v>950</v>
      </c>
      <c r="C29" s="358">
        <f>L10</f>
        <v>106.75</v>
      </c>
      <c r="D29" s="237">
        <f>F22</f>
        <v>8.023149295824366</v>
      </c>
      <c r="E29" s="235">
        <v>10.89</v>
      </c>
      <c r="F29" s="670">
        <f>N10</f>
        <v>48.2</v>
      </c>
      <c r="G29" s="237">
        <f>F25</f>
        <v>4.1833779334918217</v>
      </c>
      <c r="H29" s="237">
        <v>7.2576917074405261</v>
      </c>
    </row>
    <row r="31" spans="1:8">
      <c r="A31" s="571" t="s">
        <v>955</v>
      </c>
      <c r="B31" s="571"/>
      <c r="C31" s="2417" t="s">
        <v>956</v>
      </c>
      <c r="D31" s="2417"/>
      <c r="E31" s="571" t="s">
        <v>957</v>
      </c>
      <c r="F31" s="571" t="s">
        <v>958</v>
      </c>
    </row>
    <row r="32" spans="1:8">
      <c r="A32" s="567"/>
      <c r="B32" s="567" t="s">
        <v>959</v>
      </c>
      <c r="C32" s="567" t="s">
        <v>960</v>
      </c>
      <c r="D32" s="567" t="s">
        <v>994</v>
      </c>
      <c r="E32" s="567"/>
      <c r="F32" s="567" t="s">
        <v>962</v>
      </c>
    </row>
    <row r="33" spans="1:12" ht="14.5">
      <c r="A33" s="353" t="s">
        <v>963</v>
      </c>
      <c r="B33" s="568">
        <v>21</v>
      </c>
      <c r="C33" s="569">
        <v>6.33</v>
      </c>
      <c r="D33" s="570">
        <v>10.89</v>
      </c>
      <c r="E33" s="568">
        <v>1000</v>
      </c>
      <c r="F33" s="568">
        <v>200</v>
      </c>
    </row>
    <row r="35" spans="1:12">
      <c r="D35" s="2146">
        <v>43472</v>
      </c>
      <c r="E35" s="2146">
        <v>43507</v>
      </c>
      <c r="F35" s="2146">
        <v>43545</v>
      </c>
      <c r="G35" s="2146">
        <v>43563</v>
      </c>
      <c r="H35" s="2146">
        <v>43591</v>
      </c>
      <c r="I35" s="2146">
        <v>43626</v>
      </c>
      <c r="J35" s="2146">
        <v>43690</v>
      </c>
      <c r="K35" s="2146">
        <v>43724</v>
      </c>
    </row>
    <row r="36" spans="1:12">
      <c r="D36" s="2418" t="s">
        <v>1037</v>
      </c>
      <c r="E36" s="2418"/>
      <c r="F36" s="2418"/>
      <c r="G36" s="2418"/>
      <c r="H36" s="2418"/>
      <c r="I36" s="2418"/>
      <c r="J36" s="2418"/>
      <c r="K36" s="2418"/>
    </row>
    <row r="37" spans="1:12" ht="23">
      <c r="A37" s="450" t="s">
        <v>232</v>
      </c>
      <c r="B37" s="624" t="s">
        <v>210</v>
      </c>
      <c r="C37" s="706" t="s">
        <v>211</v>
      </c>
      <c r="D37" s="31" t="s">
        <v>64</v>
      </c>
      <c r="E37" s="31" t="s">
        <v>65</v>
      </c>
      <c r="F37" s="31" t="s">
        <v>66</v>
      </c>
      <c r="G37" s="31" t="s">
        <v>67</v>
      </c>
      <c r="H37" s="31" t="s">
        <v>68</v>
      </c>
      <c r="I37" s="31" t="s">
        <v>69</v>
      </c>
      <c r="J37" s="31" t="s">
        <v>1047</v>
      </c>
      <c r="K37" s="31" t="s">
        <v>1243</v>
      </c>
    </row>
    <row r="38" spans="1:12" ht="23">
      <c r="A38" s="442" t="s">
        <v>992</v>
      </c>
      <c r="B38" s="626" t="s">
        <v>204</v>
      </c>
      <c r="C38" s="707" t="s">
        <v>951</v>
      </c>
      <c r="D38" s="344">
        <v>10</v>
      </c>
      <c r="E38" s="344">
        <v>14</v>
      </c>
      <c r="F38" s="344">
        <v>20</v>
      </c>
      <c r="G38" s="344">
        <v>25.5</v>
      </c>
      <c r="H38" s="344">
        <v>23.5</v>
      </c>
      <c r="I38" s="344">
        <v>81</v>
      </c>
      <c r="J38" s="245">
        <v>34.9</v>
      </c>
      <c r="K38" s="245">
        <v>16.3</v>
      </c>
    </row>
    <row r="39" spans="1:12" ht="23">
      <c r="A39" s="626" t="s">
        <v>915</v>
      </c>
      <c r="B39" s="628" t="s">
        <v>846</v>
      </c>
      <c r="C39" s="707" t="s">
        <v>360</v>
      </c>
      <c r="D39" s="344">
        <v>4</v>
      </c>
      <c r="E39" s="344">
        <v>0.81</v>
      </c>
      <c r="F39" s="344">
        <v>1.9</v>
      </c>
      <c r="G39" s="344">
        <v>4.3</v>
      </c>
      <c r="H39" s="344">
        <v>1.6</v>
      </c>
      <c r="I39" s="344">
        <v>1.4</v>
      </c>
      <c r="J39" s="245">
        <v>1.1000000000000001</v>
      </c>
      <c r="K39" s="245">
        <v>1</v>
      </c>
    </row>
    <row r="40" spans="1:12" ht="23">
      <c r="A40" s="442" t="s">
        <v>992</v>
      </c>
      <c r="B40" s="442" t="s">
        <v>950</v>
      </c>
      <c r="C40" s="708" t="s">
        <v>952</v>
      </c>
      <c r="D40" s="344">
        <v>14</v>
      </c>
      <c r="E40" s="344">
        <v>15</v>
      </c>
      <c r="F40" s="344">
        <v>22</v>
      </c>
      <c r="G40" s="344">
        <v>30</v>
      </c>
      <c r="H40" s="344">
        <v>25.1</v>
      </c>
      <c r="I40" s="344">
        <v>83</v>
      </c>
      <c r="J40" s="344">
        <f t="shared" ref="J40:K40" si="4">SUM(J38:J39)</f>
        <v>36</v>
      </c>
      <c r="K40" s="344">
        <f t="shared" si="4"/>
        <v>17.3</v>
      </c>
    </row>
    <row r="41" spans="1:12">
      <c r="A41" s="464"/>
      <c r="B41" s="464"/>
      <c r="C41" s="464"/>
      <c r="D41" s="437">
        <v>31</v>
      </c>
      <c r="E41" s="437">
        <v>28</v>
      </c>
      <c r="F41" s="437">
        <v>31</v>
      </c>
      <c r="G41" s="437">
        <v>30</v>
      </c>
      <c r="H41" s="437">
        <v>31</v>
      </c>
      <c r="I41" s="437">
        <v>30</v>
      </c>
      <c r="J41" s="437">
        <v>31</v>
      </c>
      <c r="K41" s="437">
        <v>31</v>
      </c>
    </row>
    <row r="42" spans="1:12">
      <c r="D42" s="2416" t="s">
        <v>1048</v>
      </c>
      <c r="E42" s="2416"/>
      <c r="F42" s="2416"/>
      <c r="G42" s="2416"/>
      <c r="H42" s="2416"/>
      <c r="I42" s="2416"/>
      <c r="J42" s="2416"/>
      <c r="K42" s="2416"/>
    </row>
    <row r="43" spans="1:12" ht="23">
      <c r="A43" s="450" t="s">
        <v>232</v>
      </c>
      <c r="B43" s="624" t="s">
        <v>210</v>
      </c>
      <c r="C43" s="706" t="s">
        <v>211</v>
      </c>
      <c r="D43" s="31" t="s">
        <v>64</v>
      </c>
      <c r="E43" s="31" t="s">
        <v>65</v>
      </c>
      <c r="F43" s="31" t="s">
        <v>66</v>
      </c>
      <c r="G43" s="31" t="s">
        <v>67</v>
      </c>
      <c r="H43" s="31" t="s">
        <v>68</v>
      </c>
      <c r="I43" s="31" t="s">
        <v>69</v>
      </c>
      <c r="J43" s="31" t="s">
        <v>1047</v>
      </c>
      <c r="K43" s="31" t="s">
        <v>1243</v>
      </c>
    </row>
    <row r="44" spans="1:12" ht="23">
      <c r="A44" s="442" t="s">
        <v>992</v>
      </c>
      <c r="B44" s="626" t="s">
        <v>204</v>
      </c>
      <c r="C44" s="707" t="s">
        <v>951</v>
      </c>
      <c r="D44" s="358">
        <f>D38*1.983*D$41</f>
        <v>614.73</v>
      </c>
      <c r="E44" s="358">
        <f t="shared" ref="E44:K44" si="5">E38*1.983*E$41</f>
        <v>777.33600000000001</v>
      </c>
      <c r="F44" s="358">
        <f t="shared" si="5"/>
        <v>1229.46</v>
      </c>
      <c r="G44" s="358">
        <f t="shared" si="5"/>
        <v>1516.9950000000001</v>
      </c>
      <c r="H44" s="358">
        <f t="shared" si="5"/>
        <v>1444.6155000000001</v>
      </c>
      <c r="I44" s="358">
        <f t="shared" si="5"/>
        <v>4818.6900000000005</v>
      </c>
      <c r="J44" s="358">
        <f t="shared" si="5"/>
        <v>2145.4076999999997</v>
      </c>
      <c r="K44" s="358">
        <f t="shared" si="5"/>
        <v>1002.0099000000001</v>
      </c>
    </row>
    <row r="45" spans="1:12" ht="23">
      <c r="A45" s="626" t="s">
        <v>915</v>
      </c>
      <c r="B45" s="628" t="s">
        <v>1233</v>
      </c>
      <c r="C45" s="707" t="s">
        <v>360</v>
      </c>
      <c r="D45" s="358">
        <f t="shared" ref="D45:K46" si="6">D39*1.983*D$41</f>
        <v>245.89200000000002</v>
      </c>
      <c r="E45" s="358">
        <f t="shared" si="6"/>
        <v>44.974440000000008</v>
      </c>
      <c r="F45" s="358">
        <f t="shared" si="6"/>
        <v>116.7987</v>
      </c>
      <c r="G45" s="358">
        <f t="shared" si="6"/>
        <v>255.80699999999999</v>
      </c>
      <c r="H45" s="358">
        <f t="shared" si="6"/>
        <v>98.356800000000021</v>
      </c>
      <c r="I45" s="358">
        <f t="shared" si="6"/>
        <v>83.285999999999987</v>
      </c>
      <c r="J45" s="358">
        <f t="shared" si="6"/>
        <v>67.620300000000015</v>
      </c>
      <c r="K45" s="358">
        <f t="shared" si="6"/>
        <v>61.473000000000006</v>
      </c>
    </row>
    <row r="46" spans="1:12" ht="23">
      <c r="A46" s="442" t="s">
        <v>992</v>
      </c>
      <c r="B46" s="442" t="s">
        <v>950</v>
      </c>
      <c r="C46" s="708" t="s">
        <v>952</v>
      </c>
      <c r="D46" s="358">
        <f t="shared" si="6"/>
        <v>860.62200000000007</v>
      </c>
      <c r="E46" s="358">
        <f t="shared" si="6"/>
        <v>832.86</v>
      </c>
      <c r="F46" s="358">
        <f t="shared" si="6"/>
        <v>1352.4060000000002</v>
      </c>
      <c r="G46" s="358">
        <f t="shared" si="6"/>
        <v>1784.7</v>
      </c>
      <c r="H46" s="358">
        <f t="shared" si="6"/>
        <v>1542.9723000000001</v>
      </c>
      <c r="I46" s="358">
        <f t="shared" si="6"/>
        <v>4937.67</v>
      </c>
      <c r="J46" s="358">
        <f t="shared" si="6"/>
        <v>2213.0280000000002</v>
      </c>
      <c r="K46" s="358">
        <f t="shared" si="6"/>
        <v>1063.4829</v>
      </c>
    </row>
    <row r="48" spans="1:12" ht="14" customHeight="1">
      <c r="C48" s="692">
        <v>2.7230000000000002E-3</v>
      </c>
      <c r="D48" s="2414" t="s">
        <v>1253</v>
      </c>
      <c r="E48" s="2415"/>
      <c r="F48" s="2415"/>
      <c r="G48" s="2415"/>
      <c r="H48" s="2415"/>
      <c r="I48" s="2415"/>
      <c r="J48" s="2415"/>
      <c r="K48" s="2415"/>
      <c r="L48" s="709" t="s">
        <v>1234</v>
      </c>
    </row>
    <row r="49" spans="1:12" ht="23">
      <c r="A49" s="450" t="s">
        <v>232</v>
      </c>
      <c r="B49" s="624" t="s">
        <v>210</v>
      </c>
      <c r="C49" s="706" t="s">
        <v>211</v>
      </c>
      <c r="D49" s="1041" t="s">
        <v>64</v>
      </c>
      <c r="E49" s="1041" t="s">
        <v>65</v>
      </c>
      <c r="F49" s="1041" t="s">
        <v>66</v>
      </c>
      <c r="G49" s="1041" t="s">
        <v>67</v>
      </c>
      <c r="H49" s="1041" t="s">
        <v>68</v>
      </c>
      <c r="I49" s="1041" t="s">
        <v>69</v>
      </c>
      <c r="J49" s="1041" t="s">
        <v>71</v>
      </c>
      <c r="K49" s="1041" t="s">
        <v>72</v>
      </c>
      <c r="L49" s="75" t="s">
        <v>1049</v>
      </c>
    </row>
    <row r="50" spans="1:12" ht="23">
      <c r="A50" s="442" t="s">
        <v>992</v>
      </c>
      <c r="B50" s="626" t="s">
        <v>204</v>
      </c>
      <c r="C50" s="707" t="s">
        <v>951</v>
      </c>
      <c r="D50" s="238">
        <f>D44*D4*$C$48</f>
        <v>5.0217293700000001</v>
      </c>
      <c r="E50" s="238">
        <f t="shared" ref="E50:K50" si="7">E44*E4*$C$48</f>
        <v>3.3866974848000004</v>
      </c>
      <c r="F50" s="238">
        <f t="shared" si="7"/>
        <v>12.386932446000001</v>
      </c>
      <c r="G50" s="238">
        <f t="shared" si="7"/>
        <v>30.154674910500002</v>
      </c>
      <c r="H50" s="238">
        <f t="shared" si="7"/>
        <v>5.9005320097500009</v>
      </c>
      <c r="I50" s="238">
        <f t="shared" si="7"/>
        <v>17.057680731000001</v>
      </c>
      <c r="J50" s="238">
        <f t="shared" si="7"/>
        <v>6.4261396838099998</v>
      </c>
      <c r="K50" s="238">
        <f t="shared" si="7"/>
        <v>6.5483350984800008</v>
      </c>
      <c r="L50" s="238">
        <f>SUM(D50:K50)</f>
        <v>86.882721734339995</v>
      </c>
    </row>
    <row r="51" spans="1:12" ht="23">
      <c r="A51" s="626" t="s">
        <v>915</v>
      </c>
      <c r="B51" s="628" t="s">
        <v>1233</v>
      </c>
      <c r="C51" s="707" t="s">
        <v>360</v>
      </c>
      <c r="D51" s="238">
        <f>D45*D5*$C$48</f>
        <v>1.4730406152000004</v>
      </c>
      <c r="E51" s="238">
        <f t="shared" ref="E51:K51" si="8">E45*E5*$C$48</f>
        <v>0.15920502015600005</v>
      </c>
      <c r="F51" s="238">
        <f t="shared" si="8"/>
        <v>1.36758429843</v>
      </c>
      <c r="G51" s="238">
        <f t="shared" si="8"/>
        <v>5.0152497191999998</v>
      </c>
      <c r="H51" s="238">
        <f t="shared" si="8"/>
        <v>0.34817323632000013</v>
      </c>
      <c r="I51" s="238">
        <f t="shared" si="8"/>
        <v>0.47625433379999993</v>
      </c>
      <c r="J51" s="238">
        <f t="shared" si="8"/>
        <v>0</v>
      </c>
      <c r="K51" s="238">
        <f t="shared" si="8"/>
        <v>0</v>
      </c>
      <c r="L51" s="238">
        <f>SUM(D51:K51)</f>
        <v>8.8395072231060006</v>
      </c>
    </row>
    <row r="52" spans="1:12" ht="23">
      <c r="A52" s="442" t="s">
        <v>992</v>
      </c>
      <c r="B52" s="442" t="s">
        <v>950</v>
      </c>
      <c r="C52" s="708" t="s">
        <v>952</v>
      </c>
      <c r="D52" s="238">
        <f>D46*D6*$C$48</f>
        <v>5.8586842650000008</v>
      </c>
      <c r="E52" s="238">
        <f t="shared" ref="E52:K52" si="9">E46*E6*$C$48</f>
        <v>3.8553922260000006</v>
      </c>
      <c r="F52" s="238">
        <f t="shared" si="9"/>
        <v>12.889105383000002</v>
      </c>
      <c r="G52" s="238">
        <f t="shared" si="9"/>
        <v>31.588297650000005</v>
      </c>
      <c r="H52" s="238">
        <f t="shared" si="9"/>
        <v>6.7224217166400013</v>
      </c>
      <c r="I52" s="238">
        <f t="shared" si="9"/>
        <v>75.293542295999998</v>
      </c>
      <c r="J52" s="238">
        <f t="shared" si="9"/>
        <v>7.2312902928000007</v>
      </c>
      <c r="K52" s="238">
        <f t="shared" si="9"/>
        <v>6.3709006607400012</v>
      </c>
      <c r="L52" s="238">
        <f>SUM(D52:K52)</f>
        <v>149.80963449018</v>
      </c>
    </row>
    <row r="56" spans="1:12" ht="42">
      <c r="B56" s="710" t="s">
        <v>150</v>
      </c>
      <c r="C56" s="710" t="s">
        <v>151</v>
      </c>
      <c r="D56" s="710" t="s">
        <v>152</v>
      </c>
      <c r="E56" s="710" t="s">
        <v>153</v>
      </c>
      <c r="F56" s="710" t="s">
        <v>303</v>
      </c>
    </row>
    <row r="57" spans="1:12">
      <c r="B57" s="718">
        <v>2</v>
      </c>
      <c r="C57" s="119">
        <v>0.22</v>
      </c>
      <c r="D57" s="719">
        <v>0.36</v>
      </c>
      <c r="E57" s="719">
        <f>C57*3</f>
        <v>0.66</v>
      </c>
      <c r="F57" s="720">
        <f>D57*E57</f>
        <v>0.23760000000000001</v>
      </c>
    </row>
    <row r="58" spans="1:12">
      <c r="B58" s="724">
        <v>4</v>
      </c>
      <c r="C58" s="725">
        <v>0.62</v>
      </c>
      <c r="D58" s="725">
        <v>0.5</v>
      </c>
      <c r="E58" s="719">
        <f t="shared" ref="E58" si="10">C58*4</f>
        <v>2.48</v>
      </c>
      <c r="F58" s="720">
        <f>D58*E58</f>
        <v>1.24</v>
      </c>
    </row>
  </sheetData>
  <mergeCells count="8">
    <mergeCell ref="D2:K2"/>
    <mergeCell ref="D7:K7"/>
    <mergeCell ref="D48:K48"/>
    <mergeCell ref="D42:K42"/>
    <mergeCell ref="C13:D13"/>
    <mergeCell ref="C31:D31"/>
    <mergeCell ref="D36:K36"/>
    <mergeCell ref="F19:G19"/>
  </mergeCells>
  <conditionalFormatting sqref="C15">
    <cfRule type="cellIs" dxfId="5" priority="6" operator="lessThan">
      <formula>$G$38</formula>
    </cfRule>
  </conditionalFormatting>
  <conditionalFormatting sqref="E15">
    <cfRule type="cellIs" dxfId="4" priority="5" operator="lessThan">
      <formula>$G$38</formula>
    </cfRule>
  </conditionalFormatting>
  <conditionalFormatting sqref="F15">
    <cfRule type="cellIs" dxfId="3" priority="4" operator="lessThan">
      <formula>$G$38</formula>
    </cfRule>
  </conditionalFormatting>
  <conditionalFormatting sqref="C33">
    <cfRule type="cellIs" dxfId="2" priority="3" operator="lessThan">
      <formula>$G$38</formula>
    </cfRule>
  </conditionalFormatting>
  <conditionalFormatting sqref="E33">
    <cfRule type="cellIs" dxfId="1" priority="2" operator="lessThan">
      <formula>$G$38</formula>
    </cfRule>
  </conditionalFormatting>
  <conditionalFormatting sqref="F33">
    <cfRule type="cellIs" dxfId="0" priority="1" operator="lessThan">
      <formula>$G$38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59999389629810485"/>
  </sheetPr>
  <dimension ref="A1:AH259"/>
  <sheetViews>
    <sheetView workbookViewId="0">
      <selection activeCell="T58" sqref="T58"/>
    </sheetView>
  </sheetViews>
  <sheetFormatPr defaultRowHeight="14"/>
  <cols>
    <col min="1" max="1" width="11.453125" bestFit="1" customWidth="1"/>
    <col min="2" max="2" width="11.7265625" bestFit="1" customWidth="1"/>
    <col min="3" max="3" width="14.81640625" bestFit="1" customWidth="1"/>
    <col min="4" max="4" width="11.36328125" bestFit="1" customWidth="1"/>
    <col min="5" max="5" width="14.81640625" bestFit="1" customWidth="1"/>
    <col min="6" max="6" width="7.453125" customWidth="1"/>
    <col min="7" max="7" width="16.08984375" bestFit="1" customWidth="1"/>
    <col min="8" max="9" width="8" bestFit="1" customWidth="1"/>
    <col min="10" max="10" width="5.81640625" bestFit="1" customWidth="1"/>
    <col min="11" max="11" width="7.90625" bestFit="1" customWidth="1"/>
    <col min="12" max="12" width="4.90625" bestFit="1" customWidth="1"/>
    <col min="13" max="13" width="5.81640625" bestFit="1" customWidth="1"/>
    <col min="14" max="14" width="13.81640625" bestFit="1" customWidth="1"/>
    <col min="16" max="16" width="7.08984375" bestFit="1" customWidth="1"/>
    <col min="17" max="17" width="4.81640625" bestFit="1" customWidth="1"/>
    <col min="18" max="18" width="9.90625" customWidth="1"/>
    <col min="19" max="19" width="5.90625" bestFit="1" customWidth="1"/>
    <col min="20" max="20" width="8.36328125" style="1980" customWidth="1"/>
    <col min="21" max="21" width="7.08984375" bestFit="1" customWidth="1"/>
    <col min="22" max="22" width="31.90625" customWidth="1"/>
    <col min="23" max="23" width="4.81640625" bestFit="1" customWidth="1"/>
    <col min="24" max="24" width="3.81640625" bestFit="1" customWidth="1"/>
    <col min="25" max="25" width="4.81640625" bestFit="1" customWidth="1"/>
    <col min="26" max="26" width="3.81640625" bestFit="1" customWidth="1"/>
    <col min="27" max="27" width="4.81640625" bestFit="1" customWidth="1"/>
    <col min="28" max="28" width="4.453125" customWidth="1"/>
    <col min="29" max="29" width="4.81640625" bestFit="1" customWidth="1"/>
    <col min="30" max="30" width="3.81640625" bestFit="1" customWidth="1"/>
    <col min="31" max="31" width="4.81640625" bestFit="1" customWidth="1"/>
    <col min="32" max="32" width="3.90625" customWidth="1"/>
    <col min="33" max="33" width="5.08984375" customWidth="1"/>
    <col min="34" max="34" width="3.81640625" bestFit="1" customWidth="1"/>
  </cols>
  <sheetData>
    <row r="1" spans="1:34">
      <c r="A1" s="508" t="s">
        <v>712</v>
      </c>
      <c r="B1" s="508" t="s">
        <v>713</v>
      </c>
      <c r="C1" s="509" t="s">
        <v>714</v>
      </c>
      <c r="D1" s="509" t="s">
        <v>715</v>
      </c>
      <c r="E1" s="508" t="s">
        <v>716</v>
      </c>
      <c r="F1" s="508" t="s">
        <v>717</v>
      </c>
      <c r="G1" s="508" t="s">
        <v>910</v>
      </c>
      <c r="H1" s="508" t="s">
        <v>718</v>
      </c>
      <c r="I1" s="510" t="s">
        <v>718</v>
      </c>
      <c r="J1" s="508" t="s">
        <v>911</v>
      </c>
      <c r="K1" s="508" t="s">
        <v>912</v>
      </c>
      <c r="L1" s="511" t="s">
        <v>913</v>
      </c>
      <c r="M1" s="511" t="s">
        <v>478</v>
      </c>
      <c r="N1" s="509" t="s">
        <v>914</v>
      </c>
      <c r="Q1" s="361"/>
      <c r="R1" s="361"/>
      <c r="S1" s="171"/>
      <c r="T1" s="1955"/>
      <c r="AA1" s="172"/>
      <c r="AB1" s="172"/>
      <c r="AC1" s="172"/>
      <c r="AD1" s="172"/>
      <c r="AE1" s="171"/>
      <c r="AF1" s="171"/>
    </row>
    <row r="2" spans="1:34">
      <c r="A2" s="1860" t="s">
        <v>1722</v>
      </c>
      <c r="B2" s="1857">
        <v>58</v>
      </c>
      <c r="C2" s="1856">
        <v>43599</v>
      </c>
      <c r="D2" s="1856">
        <v>43599</v>
      </c>
      <c r="E2" s="1861" t="s">
        <v>177</v>
      </c>
      <c r="F2" s="1852" t="s">
        <v>719</v>
      </c>
      <c r="G2" s="1858" t="s">
        <v>916</v>
      </c>
      <c r="H2" s="1854">
        <v>244</v>
      </c>
      <c r="I2" s="1859">
        <v>244</v>
      </c>
      <c r="J2" s="1852"/>
      <c r="K2" s="1862" t="s">
        <v>917</v>
      </c>
      <c r="L2" s="1855">
        <v>26</v>
      </c>
      <c r="M2" s="1855">
        <v>104</v>
      </c>
      <c r="N2" s="1853">
        <v>43622</v>
      </c>
      <c r="Q2" s="361"/>
      <c r="R2" s="361"/>
      <c r="S2" s="171"/>
      <c r="T2" s="1955"/>
      <c r="AA2" s="172"/>
      <c r="AB2" s="172"/>
      <c r="AC2" s="172"/>
      <c r="AD2" s="172"/>
      <c r="AE2" s="171"/>
      <c r="AF2" s="171"/>
    </row>
    <row r="3" spans="1:34">
      <c r="A3" s="1860" t="s">
        <v>1722</v>
      </c>
      <c r="B3" s="1857">
        <v>58</v>
      </c>
      <c r="C3" s="1856">
        <v>43599</v>
      </c>
      <c r="D3" s="1856">
        <v>43599</v>
      </c>
      <c r="E3" s="1852" t="s">
        <v>159</v>
      </c>
      <c r="F3" s="1852" t="s">
        <v>719</v>
      </c>
      <c r="G3" s="1858" t="s">
        <v>918</v>
      </c>
      <c r="H3" s="1854">
        <v>23</v>
      </c>
      <c r="I3" s="1859">
        <v>23</v>
      </c>
      <c r="J3" s="1854" t="s">
        <v>926</v>
      </c>
      <c r="K3" s="1852" t="s">
        <v>917</v>
      </c>
      <c r="L3" s="1855">
        <v>6</v>
      </c>
      <c r="M3" s="1855">
        <v>24</v>
      </c>
      <c r="N3" s="1853">
        <v>43622</v>
      </c>
      <c r="Q3" s="361"/>
      <c r="R3" s="361"/>
      <c r="S3" s="171"/>
      <c r="T3" s="1955"/>
      <c r="AA3" s="172"/>
      <c r="AB3" s="172"/>
      <c r="AC3" s="172"/>
      <c r="AD3" s="172"/>
      <c r="AE3" s="171"/>
      <c r="AF3" s="171"/>
    </row>
    <row r="4" spans="1:34">
      <c r="A4" s="1860" t="s">
        <v>1723</v>
      </c>
      <c r="B4" s="1857" t="s">
        <v>1254</v>
      </c>
      <c r="C4" s="1856">
        <v>43599</v>
      </c>
      <c r="D4" s="1856">
        <v>43599</v>
      </c>
      <c r="E4" s="1861" t="s">
        <v>177</v>
      </c>
      <c r="F4" s="1852" t="s">
        <v>719</v>
      </c>
      <c r="G4" s="1858" t="s">
        <v>916</v>
      </c>
      <c r="H4" s="1854">
        <v>215</v>
      </c>
      <c r="I4" s="1859">
        <v>215</v>
      </c>
      <c r="J4" s="1852"/>
      <c r="K4" s="1862" t="s">
        <v>917</v>
      </c>
      <c r="L4" s="1855">
        <v>26</v>
      </c>
      <c r="M4" s="1855">
        <v>104</v>
      </c>
      <c r="N4" s="1853">
        <v>43622</v>
      </c>
      <c r="O4" s="56">
        <v>43599</v>
      </c>
      <c r="P4" s="290" t="s">
        <v>288</v>
      </c>
      <c r="Q4" s="505"/>
      <c r="R4" s="1023"/>
    </row>
    <row r="5" spans="1:34">
      <c r="A5" s="1860" t="s">
        <v>1723</v>
      </c>
      <c r="B5" s="1857" t="s">
        <v>1254</v>
      </c>
      <c r="C5" s="1856">
        <v>43599</v>
      </c>
      <c r="D5" s="1856">
        <v>43599</v>
      </c>
      <c r="E5" s="1852" t="s">
        <v>159</v>
      </c>
      <c r="F5" s="1852" t="s">
        <v>719</v>
      </c>
      <c r="G5" s="1858" t="s">
        <v>918</v>
      </c>
      <c r="H5" s="1854">
        <v>21</v>
      </c>
      <c r="I5" s="1859">
        <v>21</v>
      </c>
      <c r="J5" s="1854" t="s">
        <v>926</v>
      </c>
      <c r="K5" s="1852" t="s">
        <v>917</v>
      </c>
      <c r="L5" s="1855">
        <v>6</v>
      </c>
      <c r="M5" s="1855">
        <v>24</v>
      </c>
      <c r="N5" s="1853">
        <v>43622</v>
      </c>
      <c r="O5" s="56">
        <v>43636</v>
      </c>
      <c r="P5" s="291" t="s">
        <v>287</v>
      </c>
      <c r="Q5" s="505"/>
      <c r="R5" s="1023"/>
      <c r="U5" s="2424" t="s">
        <v>210</v>
      </c>
      <c r="V5" s="2426" t="s">
        <v>211</v>
      </c>
      <c r="W5" s="2420">
        <v>43234</v>
      </c>
      <c r="X5" s="2420"/>
      <c r="Y5" s="2420">
        <v>43636</v>
      </c>
      <c r="Z5" s="2420"/>
      <c r="AA5" s="2421">
        <v>43655</v>
      </c>
      <c r="AB5" s="2421"/>
      <c r="AC5" s="2421">
        <v>43696</v>
      </c>
      <c r="AD5" s="2421"/>
      <c r="AE5" s="2421">
        <v>43725</v>
      </c>
      <c r="AF5" s="2421"/>
      <c r="AG5" s="2420">
        <v>43753</v>
      </c>
      <c r="AH5" s="2420"/>
    </row>
    <row r="6" spans="1:34">
      <c r="A6" s="1852" t="s">
        <v>1724</v>
      </c>
      <c r="B6" s="1857" t="s">
        <v>1255</v>
      </c>
      <c r="C6" s="1856">
        <v>43599</v>
      </c>
      <c r="D6" s="1856">
        <v>43599</v>
      </c>
      <c r="E6" s="1861" t="s">
        <v>177</v>
      </c>
      <c r="F6" s="1852" t="s">
        <v>719</v>
      </c>
      <c r="G6" s="1858" t="s">
        <v>916</v>
      </c>
      <c r="H6" s="1854">
        <v>253</v>
      </c>
      <c r="I6" s="1859">
        <v>253</v>
      </c>
      <c r="J6" s="1852"/>
      <c r="K6" s="1862" t="s">
        <v>917</v>
      </c>
      <c r="L6" s="1855">
        <v>26</v>
      </c>
      <c r="M6" s="1855">
        <v>104</v>
      </c>
      <c r="N6" s="1853">
        <v>43622</v>
      </c>
      <c r="O6" s="56">
        <v>43655</v>
      </c>
      <c r="P6" s="291" t="s">
        <v>213</v>
      </c>
      <c r="Q6" s="505"/>
      <c r="R6" s="1023"/>
      <c r="U6" s="2425"/>
      <c r="V6" s="2427"/>
      <c r="W6" s="1992" t="s">
        <v>28</v>
      </c>
      <c r="X6" s="1992" t="s">
        <v>27</v>
      </c>
      <c r="Y6" s="1992" t="s">
        <v>28</v>
      </c>
      <c r="Z6" s="1992" t="s">
        <v>27</v>
      </c>
      <c r="AA6" s="1992" t="s">
        <v>28</v>
      </c>
      <c r="AB6" s="1992" t="s">
        <v>27</v>
      </c>
      <c r="AC6" s="1992" t="s">
        <v>28</v>
      </c>
      <c r="AD6" s="1992" t="s">
        <v>27</v>
      </c>
      <c r="AE6" s="1992" t="s">
        <v>28</v>
      </c>
      <c r="AF6" s="1992" t="s">
        <v>27</v>
      </c>
      <c r="AG6" s="1992" t="s">
        <v>28</v>
      </c>
      <c r="AH6" s="1992" t="s">
        <v>27</v>
      </c>
    </row>
    <row r="7" spans="1:34">
      <c r="A7" s="1852" t="s">
        <v>1724</v>
      </c>
      <c r="B7" s="1857" t="s">
        <v>1255</v>
      </c>
      <c r="C7" s="1856">
        <v>43599</v>
      </c>
      <c r="D7" s="1856">
        <v>43599</v>
      </c>
      <c r="E7" s="1852" t="s">
        <v>159</v>
      </c>
      <c r="F7" s="1852" t="s">
        <v>719</v>
      </c>
      <c r="G7" s="1858" t="s">
        <v>918</v>
      </c>
      <c r="H7" s="1854">
        <v>37</v>
      </c>
      <c r="I7" s="1859">
        <v>37</v>
      </c>
      <c r="J7" s="1854"/>
      <c r="K7" s="1852" t="s">
        <v>917</v>
      </c>
      <c r="L7" s="1855">
        <v>6</v>
      </c>
      <c r="M7" s="1855">
        <v>24</v>
      </c>
      <c r="N7" s="1853">
        <v>43622</v>
      </c>
      <c r="O7" s="56">
        <v>43696</v>
      </c>
      <c r="P7" s="291" t="s">
        <v>207</v>
      </c>
      <c r="Q7" s="505"/>
      <c r="R7" s="1023"/>
      <c r="S7" s="2422" t="s">
        <v>1199</v>
      </c>
      <c r="T7" s="2422" t="s">
        <v>1209</v>
      </c>
      <c r="U7" s="784" t="s">
        <v>198</v>
      </c>
      <c r="V7" s="786" t="s">
        <v>581</v>
      </c>
      <c r="W7" s="1973"/>
      <c r="X7" s="1973"/>
      <c r="Y7" s="1986">
        <v>288</v>
      </c>
      <c r="Z7" s="1970">
        <v>11</v>
      </c>
      <c r="AA7" s="1979">
        <v>944</v>
      </c>
      <c r="AB7" s="1970">
        <v>255</v>
      </c>
      <c r="AC7" s="1979">
        <v>319</v>
      </c>
      <c r="AD7" s="1970">
        <v>14</v>
      </c>
      <c r="AE7" s="1979">
        <v>237</v>
      </c>
      <c r="AF7" s="1970">
        <v>6</v>
      </c>
      <c r="AG7" s="1993">
        <v>424</v>
      </c>
      <c r="AH7" s="1973">
        <v>49</v>
      </c>
    </row>
    <row r="8" spans="1:34" ht="14" customHeight="1">
      <c r="A8" s="1860" t="s">
        <v>1721</v>
      </c>
      <c r="B8" s="1857">
        <v>25</v>
      </c>
      <c r="C8" s="1856">
        <v>43599</v>
      </c>
      <c r="D8" s="1856">
        <v>43599</v>
      </c>
      <c r="E8" s="1861" t="s">
        <v>177</v>
      </c>
      <c r="F8" s="1852" t="s">
        <v>719</v>
      </c>
      <c r="G8" s="1858" t="s">
        <v>916</v>
      </c>
      <c r="H8" s="1854">
        <v>149</v>
      </c>
      <c r="I8" s="1859">
        <v>149</v>
      </c>
      <c r="J8" s="1852"/>
      <c r="K8" s="1862" t="s">
        <v>917</v>
      </c>
      <c r="L8" s="1855">
        <v>26</v>
      </c>
      <c r="M8" s="1855">
        <v>104</v>
      </c>
      <c r="N8" s="1853">
        <v>43622</v>
      </c>
      <c r="O8" s="56">
        <v>43725</v>
      </c>
      <c r="P8" s="291" t="s">
        <v>1203</v>
      </c>
      <c r="Q8" s="505"/>
      <c r="R8" s="1023"/>
      <c r="S8" s="2423"/>
      <c r="T8" s="2423"/>
      <c r="U8" s="784" t="s">
        <v>199</v>
      </c>
      <c r="V8" s="786" t="s">
        <v>1200</v>
      </c>
      <c r="W8" s="1989"/>
      <c r="X8" s="1984"/>
      <c r="Y8" s="1984">
        <v>335</v>
      </c>
      <c r="Z8" s="1984">
        <v>18</v>
      </c>
      <c r="AA8" s="1970">
        <v>345</v>
      </c>
      <c r="AB8" s="1979">
        <v>17</v>
      </c>
      <c r="AC8" s="1958">
        <v>244</v>
      </c>
      <c r="AD8" s="1979">
        <v>6</v>
      </c>
      <c r="AE8" s="1970">
        <v>262</v>
      </c>
      <c r="AF8" s="1984">
        <v>6</v>
      </c>
      <c r="AG8" s="1976">
        <v>300</v>
      </c>
      <c r="AH8" s="1973">
        <v>11</v>
      </c>
    </row>
    <row r="9" spans="1:34">
      <c r="A9" s="1860" t="s">
        <v>1721</v>
      </c>
      <c r="B9" s="1857">
        <v>25</v>
      </c>
      <c r="C9" s="1856">
        <v>43599</v>
      </c>
      <c r="D9" s="1856">
        <v>43599</v>
      </c>
      <c r="E9" s="1852" t="s">
        <v>159</v>
      </c>
      <c r="F9" s="1852" t="s">
        <v>719</v>
      </c>
      <c r="G9" s="1858" t="s">
        <v>918</v>
      </c>
      <c r="H9" s="1854">
        <v>14</v>
      </c>
      <c r="I9" s="1859">
        <v>14</v>
      </c>
      <c r="J9" s="1854" t="s">
        <v>926</v>
      </c>
      <c r="K9" s="1852" t="s">
        <v>917</v>
      </c>
      <c r="L9" s="1855">
        <v>6</v>
      </c>
      <c r="M9" s="1855">
        <v>24</v>
      </c>
      <c r="N9" s="1853">
        <v>43622</v>
      </c>
      <c r="O9" s="56">
        <v>43753</v>
      </c>
      <c r="P9" s="291" t="s">
        <v>164</v>
      </c>
      <c r="Q9" s="505"/>
      <c r="R9" s="1023"/>
      <c r="S9" s="2431" t="s">
        <v>984</v>
      </c>
      <c r="T9" s="2422" t="s">
        <v>1210</v>
      </c>
      <c r="U9" s="290" t="s">
        <v>288</v>
      </c>
      <c r="V9" s="787" t="s">
        <v>1262</v>
      </c>
      <c r="W9" s="1966">
        <v>244</v>
      </c>
      <c r="X9" s="1966">
        <v>23</v>
      </c>
      <c r="Y9" s="1966">
        <v>281</v>
      </c>
      <c r="Z9" s="1966">
        <v>7</v>
      </c>
      <c r="AA9" s="1966">
        <v>208</v>
      </c>
      <c r="AB9" s="1966">
        <v>7</v>
      </c>
      <c r="AC9" s="1966">
        <v>206</v>
      </c>
      <c r="AD9" s="1966">
        <v>18</v>
      </c>
      <c r="AE9" s="1966">
        <v>197</v>
      </c>
      <c r="AF9" s="1966">
        <v>6</v>
      </c>
      <c r="AG9" s="1966">
        <v>230</v>
      </c>
      <c r="AH9" s="1966">
        <v>22</v>
      </c>
    </row>
    <row r="10" spans="1:34">
      <c r="A10" s="1860" t="s">
        <v>1726</v>
      </c>
      <c r="B10" s="1857">
        <v>5</v>
      </c>
      <c r="C10" s="1856">
        <v>43599</v>
      </c>
      <c r="D10" s="1856">
        <v>43599</v>
      </c>
      <c r="E10" s="1861" t="s">
        <v>177</v>
      </c>
      <c r="F10" s="1852" t="s">
        <v>719</v>
      </c>
      <c r="G10" s="1858" t="s">
        <v>916</v>
      </c>
      <c r="H10" s="1854">
        <v>293</v>
      </c>
      <c r="I10" s="1859">
        <v>293</v>
      </c>
      <c r="J10" s="1852"/>
      <c r="K10" s="1862" t="s">
        <v>917</v>
      </c>
      <c r="L10" s="1855">
        <v>26</v>
      </c>
      <c r="M10" s="1855">
        <v>104</v>
      </c>
      <c r="N10" s="1853">
        <v>43622</v>
      </c>
      <c r="P10" s="291" t="s">
        <v>200</v>
      </c>
      <c r="Q10" s="505"/>
      <c r="R10" s="1023"/>
      <c r="S10" s="2432"/>
      <c r="T10" s="2434"/>
      <c r="U10" s="291" t="s">
        <v>287</v>
      </c>
      <c r="V10" s="787" t="s">
        <v>312</v>
      </c>
      <c r="W10" s="1966">
        <v>215</v>
      </c>
      <c r="X10" s="1966">
        <v>21</v>
      </c>
      <c r="Y10" s="1966">
        <v>258</v>
      </c>
      <c r="Z10" s="1966">
        <v>19</v>
      </c>
      <c r="AA10" s="1966">
        <v>181</v>
      </c>
      <c r="AB10" s="1966">
        <v>10</v>
      </c>
      <c r="AC10" s="1966">
        <v>169</v>
      </c>
      <c r="AD10" s="1966">
        <v>6</v>
      </c>
      <c r="AE10" s="1966">
        <v>156</v>
      </c>
      <c r="AF10" s="1966">
        <v>7</v>
      </c>
      <c r="AG10" s="1966">
        <v>152</v>
      </c>
      <c r="AH10" s="1966">
        <v>41</v>
      </c>
    </row>
    <row r="11" spans="1:34">
      <c r="A11" s="1860" t="s">
        <v>1726</v>
      </c>
      <c r="B11" s="1857">
        <v>5</v>
      </c>
      <c r="C11" s="1856">
        <v>43599</v>
      </c>
      <c r="D11" s="1856">
        <v>43599</v>
      </c>
      <c r="E11" s="1852" t="s">
        <v>159</v>
      </c>
      <c r="F11" s="1852" t="s">
        <v>719</v>
      </c>
      <c r="G11" s="1858" t="s">
        <v>918</v>
      </c>
      <c r="H11" s="1854">
        <v>18</v>
      </c>
      <c r="I11" s="1859">
        <v>18</v>
      </c>
      <c r="J11" s="1854" t="s">
        <v>926</v>
      </c>
      <c r="K11" s="1852" t="s">
        <v>917</v>
      </c>
      <c r="L11" s="1855">
        <v>6</v>
      </c>
      <c r="M11" s="1855">
        <v>24</v>
      </c>
      <c r="N11" s="1853">
        <v>43622</v>
      </c>
      <c r="P11" s="291" t="s">
        <v>201</v>
      </c>
      <c r="Q11" s="505"/>
      <c r="R11" s="1023"/>
      <c r="S11" s="2433"/>
      <c r="T11" s="2423"/>
      <c r="U11" s="291" t="s">
        <v>213</v>
      </c>
      <c r="V11" s="708" t="s">
        <v>214</v>
      </c>
      <c r="W11" s="1966">
        <v>253</v>
      </c>
      <c r="X11" s="1966">
        <v>37</v>
      </c>
      <c r="Y11" s="1966">
        <v>261</v>
      </c>
      <c r="Z11" s="1966">
        <v>19</v>
      </c>
      <c r="AA11" s="1966">
        <v>194</v>
      </c>
      <c r="AB11" s="1966">
        <v>14</v>
      </c>
      <c r="AC11" s="1966">
        <v>170</v>
      </c>
      <c r="AD11" s="1966">
        <v>13</v>
      </c>
      <c r="AE11" s="1966">
        <v>165</v>
      </c>
      <c r="AF11" s="1966">
        <v>7</v>
      </c>
      <c r="AG11" s="1966">
        <v>192</v>
      </c>
      <c r="AH11" s="1966">
        <v>6</v>
      </c>
    </row>
    <row r="12" spans="1:34">
      <c r="A12" s="1860" t="s">
        <v>1727</v>
      </c>
      <c r="B12" s="1857" t="s">
        <v>1256</v>
      </c>
      <c r="C12" s="1856">
        <v>43599</v>
      </c>
      <c r="D12" s="1856">
        <v>43599</v>
      </c>
      <c r="E12" s="1861" t="s">
        <v>177</v>
      </c>
      <c r="F12" s="1852" t="s">
        <v>719</v>
      </c>
      <c r="G12" s="1858" t="s">
        <v>916</v>
      </c>
      <c r="H12" s="1854">
        <v>442</v>
      </c>
      <c r="I12" s="1859">
        <v>442</v>
      </c>
      <c r="J12" s="1852"/>
      <c r="K12" s="1862" t="s">
        <v>917</v>
      </c>
      <c r="L12" s="1855">
        <v>26</v>
      </c>
      <c r="M12" s="1855">
        <v>104</v>
      </c>
      <c r="N12" s="1853">
        <v>43622</v>
      </c>
      <c r="P12" s="291" t="s">
        <v>202</v>
      </c>
      <c r="Q12" s="505"/>
      <c r="R12" s="1023"/>
      <c r="S12" s="1297" t="s">
        <v>985</v>
      </c>
      <c r="T12" s="1994" t="s">
        <v>1211</v>
      </c>
      <c r="U12" s="291" t="s">
        <v>207</v>
      </c>
      <c r="V12" s="708" t="s">
        <v>221</v>
      </c>
      <c r="W12" s="1966">
        <v>149</v>
      </c>
      <c r="X12" s="1966">
        <v>14</v>
      </c>
      <c r="Y12" s="1966">
        <v>146</v>
      </c>
      <c r="Z12" s="1966">
        <v>7</v>
      </c>
      <c r="AA12" s="1966">
        <v>116</v>
      </c>
      <c r="AB12" s="1966">
        <v>8</v>
      </c>
      <c r="AC12" s="1966">
        <v>85</v>
      </c>
      <c r="AD12" s="1966">
        <v>7</v>
      </c>
      <c r="AE12" s="1966">
        <v>94</v>
      </c>
      <c r="AF12" s="1966">
        <v>13</v>
      </c>
      <c r="AG12" s="1966">
        <v>61</v>
      </c>
      <c r="AH12" s="1966">
        <v>6</v>
      </c>
    </row>
    <row r="13" spans="1:34">
      <c r="A13" s="1860" t="s">
        <v>1727</v>
      </c>
      <c r="B13" s="1857" t="s">
        <v>1256</v>
      </c>
      <c r="C13" s="1856">
        <v>43599</v>
      </c>
      <c r="D13" s="1856">
        <v>43599</v>
      </c>
      <c r="E13" s="1852" t="s">
        <v>159</v>
      </c>
      <c r="F13" s="1852" t="s">
        <v>719</v>
      </c>
      <c r="G13" s="1858" t="s">
        <v>918</v>
      </c>
      <c r="H13" s="1854">
        <v>43</v>
      </c>
      <c r="I13" s="1859">
        <v>43</v>
      </c>
      <c r="J13" s="1852"/>
      <c r="K13" s="1852" t="s">
        <v>917</v>
      </c>
      <c r="L13" s="1855">
        <v>6</v>
      </c>
      <c r="M13" s="1855">
        <v>24</v>
      </c>
      <c r="N13" s="1853">
        <v>43622</v>
      </c>
      <c r="P13" s="291" t="s">
        <v>203</v>
      </c>
      <c r="Q13" s="505"/>
      <c r="R13" s="1023"/>
      <c r="S13" s="1292" t="s">
        <v>1201</v>
      </c>
      <c r="T13" s="1994" t="s">
        <v>726</v>
      </c>
      <c r="U13" s="291" t="s">
        <v>1203</v>
      </c>
      <c r="V13" s="708" t="s">
        <v>1202</v>
      </c>
      <c r="W13" s="1970">
        <v>246</v>
      </c>
      <c r="X13" s="1970">
        <v>12</v>
      </c>
      <c r="Y13" s="1970">
        <v>319</v>
      </c>
      <c r="Z13" s="1970">
        <v>16</v>
      </c>
      <c r="AA13" s="1970">
        <v>271</v>
      </c>
      <c r="AB13" s="1970">
        <v>12</v>
      </c>
      <c r="AC13" s="1970">
        <v>239</v>
      </c>
      <c r="AD13" s="1970">
        <v>18</v>
      </c>
      <c r="AE13" s="1970">
        <v>244</v>
      </c>
      <c r="AF13" s="1970">
        <v>11</v>
      </c>
      <c r="AG13" s="1970">
        <v>204</v>
      </c>
      <c r="AH13" s="1970">
        <v>21</v>
      </c>
    </row>
    <row r="14" spans="1:34">
      <c r="A14" s="1860" t="s">
        <v>1729</v>
      </c>
      <c r="B14" s="1857">
        <v>9</v>
      </c>
      <c r="C14" s="1856">
        <v>43599</v>
      </c>
      <c r="D14" s="1856">
        <v>43599</v>
      </c>
      <c r="E14" s="1861" t="s">
        <v>177</v>
      </c>
      <c r="F14" s="1852" t="s">
        <v>719</v>
      </c>
      <c r="G14" s="1858" t="s">
        <v>916</v>
      </c>
      <c r="H14" s="1854">
        <v>418</v>
      </c>
      <c r="I14" s="1859">
        <v>418</v>
      </c>
      <c r="J14" s="1852"/>
      <c r="K14" s="1862" t="s">
        <v>917</v>
      </c>
      <c r="L14" s="1855">
        <v>26</v>
      </c>
      <c r="M14" s="1855">
        <v>104</v>
      </c>
      <c r="N14" s="1853">
        <v>43622</v>
      </c>
      <c r="P14" s="291" t="s">
        <v>204</v>
      </c>
      <c r="Q14" s="505"/>
      <c r="R14" s="1023"/>
      <c r="S14" s="2435" t="s">
        <v>986</v>
      </c>
      <c r="T14" s="2422" t="s">
        <v>1216</v>
      </c>
      <c r="U14" s="291" t="s">
        <v>164</v>
      </c>
      <c r="V14" s="708" t="s">
        <v>228</v>
      </c>
      <c r="W14" s="1966">
        <v>293</v>
      </c>
      <c r="X14" s="1966">
        <v>18</v>
      </c>
      <c r="Y14" s="1966">
        <v>298</v>
      </c>
      <c r="Z14" s="1966">
        <v>25</v>
      </c>
      <c r="AA14" s="1966">
        <v>226</v>
      </c>
      <c r="AB14" s="1966">
        <v>13</v>
      </c>
      <c r="AC14" s="1966">
        <v>202</v>
      </c>
      <c r="AD14" s="1966">
        <v>14</v>
      </c>
      <c r="AE14" s="1966">
        <v>189</v>
      </c>
      <c r="AF14" s="1966">
        <v>16</v>
      </c>
      <c r="AG14" s="1966">
        <v>173</v>
      </c>
      <c r="AH14" s="1966">
        <v>15</v>
      </c>
    </row>
    <row r="15" spans="1:34">
      <c r="A15" s="1860" t="s">
        <v>1729</v>
      </c>
      <c r="B15" s="1857">
        <v>9</v>
      </c>
      <c r="C15" s="1856">
        <v>43599</v>
      </c>
      <c r="D15" s="1856">
        <v>43599</v>
      </c>
      <c r="E15" s="1852" t="s">
        <v>159</v>
      </c>
      <c r="F15" s="1852" t="s">
        <v>719</v>
      </c>
      <c r="G15" s="1858" t="s">
        <v>918</v>
      </c>
      <c r="H15" s="1854">
        <v>41</v>
      </c>
      <c r="I15" s="1859">
        <v>41</v>
      </c>
      <c r="J15" s="1854"/>
      <c r="K15" s="1852" t="s">
        <v>917</v>
      </c>
      <c r="L15" s="1855">
        <v>6</v>
      </c>
      <c r="M15" s="1855">
        <v>24</v>
      </c>
      <c r="N15" s="1853">
        <v>43622</v>
      </c>
      <c r="P15" s="291" t="s">
        <v>1259</v>
      </c>
      <c r="Q15" s="505"/>
      <c r="R15" s="1023"/>
      <c r="S15" s="2436"/>
      <c r="T15" s="2434"/>
      <c r="U15" s="291" t="s">
        <v>200</v>
      </c>
      <c r="V15" s="708" t="s">
        <v>216</v>
      </c>
      <c r="W15" s="1966">
        <v>442</v>
      </c>
      <c r="X15" s="1966">
        <v>43</v>
      </c>
      <c r="Y15" s="1966">
        <v>333</v>
      </c>
      <c r="Z15" s="1966">
        <v>38</v>
      </c>
      <c r="AA15" s="1966">
        <v>272</v>
      </c>
      <c r="AB15" s="1966">
        <v>18</v>
      </c>
      <c r="AC15" s="1966">
        <v>479</v>
      </c>
      <c r="AD15" s="1966">
        <v>55</v>
      </c>
      <c r="AE15" s="1966">
        <v>437</v>
      </c>
      <c r="AF15" s="1966">
        <v>31</v>
      </c>
      <c r="AG15" s="1966">
        <v>432</v>
      </c>
      <c r="AH15" s="1966">
        <v>20</v>
      </c>
    </row>
    <row r="16" spans="1:34">
      <c r="A16" s="1860" t="s">
        <v>1730</v>
      </c>
      <c r="B16" s="1857">
        <v>12</v>
      </c>
      <c r="C16" s="1856">
        <v>43599</v>
      </c>
      <c r="D16" s="1856">
        <v>43599</v>
      </c>
      <c r="E16" s="1861" t="s">
        <v>177</v>
      </c>
      <c r="F16" s="1852" t="s">
        <v>719</v>
      </c>
      <c r="G16" s="1858" t="s">
        <v>916</v>
      </c>
      <c r="H16" s="1854">
        <v>401</v>
      </c>
      <c r="I16" s="1859">
        <v>401</v>
      </c>
      <c r="J16" s="1852"/>
      <c r="K16" s="1862" t="s">
        <v>917</v>
      </c>
      <c r="L16" s="1855">
        <v>26</v>
      </c>
      <c r="M16" s="1855">
        <v>104</v>
      </c>
      <c r="N16" s="1853">
        <v>43622</v>
      </c>
      <c r="P16" s="292" t="s">
        <v>357</v>
      </c>
      <c r="Q16" s="505"/>
      <c r="R16" s="1023"/>
      <c r="S16" s="2436"/>
      <c r="T16" s="2434"/>
      <c r="U16" s="291" t="s">
        <v>201</v>
      </c>
      <c r="V16" s="708" t="s">
        <v>217</v>
      </c>
      <c r="W16" s="1966">
        <v>418</v>
      </c>
      <c r="X16" s="1966">
        <v>41</v>
      </c>
      <c r="Y16" s="1966">
        <v>326</v>
      </c>
      <c r="Z16" s="1966">
        <v>24</v>
      </c>
      <c r="AA16" s="1966">
        <v>288</v>
      </c>
      <c r="AB16" s="1966">
        <v>34</v>
      </c>
      <c r="AC16" s="1966">
        <v>346</v>
      </c>
      <c r="AD16" s="1966">
        <v>30</v>
      </c>
      <c r="AE16" s="1966">
        <v>346</v>
      </c>
      <c r="AF16" s="1966">
        <v>40</v>
      </c>
      <c r="AG16" s="1966">
        <v>312</v>
      </c>
      <c r="AH16" s="1966">
        <v>44</v>
      </c>
    </row>
    <row r="17" spans="1:34">
      <c r="A17" s="1860" t="s">
        <v>1730</v>
      </c>
      <c r="B17" s="1857">
        <v>12</v>
      </c>
      <c r="C17" s="1856">
        <v>43599</v>
      </c>
      <c r="D17" s="1856">
        <v>43599</v>
      </c>
      <c r="E17" s="1852" t="s">
        <v>159</v>
      </c>
      <c r="F17" s="1852" t="s">
        <v>719</v>
      </c>
      <c r="G17" s="1858" t="s">
        <v>918</v>
      </c>
      <c r="H17" s="1854">
        <v>39</v>
      </c>
      <c r="I17" s="1859">
        <v>39</v>
      </c>
      <c r="J17" s="1854"/>
      <c r="K17" s="1852" t="s">
        <v>917</v>
      </c>
      <c r="L17" s="1855">
        <v>6</v>
      </c>
      <c r="M17" s="1855">
        <v>24</v>
      </c>
      <c r="N17" s="1853">
        <v>43622</v>
      </c>
      <c r="P17" s="290" t="s">
        <v>1393</v>
      </c>
      <c r="Q17" s="505"/>
      <c r="R17" s="1023"/>
      <c r="S17" s="2436"/>
      <c r="T17" s="2434"/>
      <c r="U17" s="291" t="s">
        <v>202</v>
      </c>
      <c r="V17" s="708" t="s">
        <v>218</v>
      </c>
      <c r="W17" s="1966">
        <v>401</v>
      </c>
      <c r="X17" s="1966">
        <v>39</v>
      </c>
      <c r="Y17" s="1966">
        <v>404</v>
      </c>
      <c r="Z17" s="1966">
        <v>38</v>
      </c>
      <c r="AA17" s="1966">
        <v>352</v>
      </c>
      <c r="AB17" s="1966">
        <v>55</v>
      </c>
      <c r="AC17" s="1966">
        <v>382</v>
      </c>
      <c r="AD17" s="1966">
        <v>33</v>
      </c>
      <c r="AE17" s="1966">
        <v>644</v>
      </c>
      <c r="AF17" s="1966">
        <v>35</v>
      </c>
      <c r="AG17" s="1966">
        <v>351</v>
      </c>
      <c r="AH17" s="1966">
        <v>31</v>
      </c>
    </row>
    <row r="18" spans="1:34">
      <c r="A18" s="1860" t="s">
        <v>1731</v>
      </c>
      <c r="B18" s="1857" t="s">
        <v>1258</v>
      </c>
      <c r="C18" s="1856">
        <v>43599</v>
      </c>
      <c r="D18" s="1856">
        <v>43599</v>
      </c>
      <c r="E18" s="1861" t="s">
        <v>177</v>
      </c>
      <c r="F18" s="1852" t="s">
        <v>719</v>
      </c>
      <c r="G18" s="1858" t="s">
        <v>916</v>
      </c>
      <c r="H18" s="1854">
        <v>518</v>
      </c>
      <c r="I18" s="1859">
        <v>518</v>
      </c>
      <c r="J18" s="1852"/>
      <c r="K18" s="1862" t="s">
        <v>917</v>
      </c>
      <c r="L18" s="1855">
        <v>26</v>
      </c>
      <c r="M18" s="1855">
        <v>104</v>
      </c>
      <c r="N18" s="1853">
        <v>43622</v>
      </c>
      <c r="P18" s="290" t="s">
        <v>1392</v>
      </c>
      <c r="Q18" s="505"/>
      <c r="R18" s="1023"/>
      <c r="S18" s="2436"/>
      <c r="T18" s="2434"/>
      <c r="U18" s="291" t="s">
        <v>203</v>
      </c>
      <c r="V18" s="708" t="s">
        <v>219</v>
      </c>
      <c r="W18" s="1966">
        <v>518</v>
      </c>
      <c r="X18" s="1966">
        <v>56</v>
      </c>
      <c r="Y18" s="1966">
        <v>367</v>
      </c>
      <c r="Z18" s="1966">
        <v>46</v>
      </c>
      <c r="AA18" s="1966">
        <v>307</v>
      </c>
      <c r="AB18" s="1966">
        <v>26</v>
      </c>
      <c r="AC18" s="1966">
        <v>381</v>
      </c>
      <c r="AD18" s="1966">
        <v>34</v>
      </c>
      <c r="AE18" s="1966">
        <v>622</v>
      </c>
      <c r="AF18" s="1966">
        <v>37</v>
      </c>
      <c r="AG18" s="1966">
        <v>388</v>
      </c>
      <c r="AH18" s="1966">
        <v>22</v>
      </c>
    </row>
    <row r="19" spans="1:34">
      <c r="A19" s="1860" t="s">
        <v>1731</v>
      </c>
      <c r="B19" s="1857" t="s">
        <v>1258</v>
      </c>
      <c r="C19" s="1856">
        <v>43599</v>
      </c>
      <c r="D19" s="1856">
        <v>43599</v>
      </c>
      <c r="E19" s="1852" t="s">
        <v>159</v>
      </c>
      <c r="F19" s="1852" t="s">
        <v>719</v>
      </c>
      <c r="G19" s="1858" t="s">
        <v>918</v>
      </c>
      <c r="H19" s="1854">
        <v>56</v>
      </c>
      <c r="I19" s="1859">
        <v>56</v>
      </c>
      <c r="J19" s="1854"/>
      <c r="K19" s="1852" t="s">
        <v>917</v>
      </c>
      <c r="L19" s="1855">
        <v>6</v>
      </c>
      <c r="M19" s="1855">
        <v>24</v>
      </c>
      <c r="N19" s="1853">
        <v>43622</v>
      </c>
      <c r="P19" s="290" t="s">
        <v>321</v>
      </c>
      <c r="Q19" s="505"/>
      <c r="R19" s="1023"/>
      <c r="S19" s="2437"/>
      <c r="T19" s="2423"/>
      <c r="U19" s="291" t="s">
        <v>204</v>
      </c>
      <c r="V19" s="708" t="s">
        <v>229</v>
      </c>
      <c r="W19" s="1966">
        <v>867</v>
      </c>
      <c r="X19" s="1966">
        <v>152</v>
      </c>
      <c r="Y19" s="1991">
        <v>402</v>
      </c>
      <c r="Z19" s="1991">
        <v>37</v>
      </c>
      <c r="AA19" s="1966">
        <v>276</v>
      </c>
      <c r="AB19" s="1966">
        <v>24</v>
      </c>
      <c r="AC19" s="1991">
        <v>278</v>
      </c>
      <c r="AD19" s="1991">
        <v>37</v>
      </c>
      <c r="AE19" s="1991">
        <v>589</v>
      </c>
      <c r="AF19" s="1991">
        <v>36</v>
      </c>
      <c r="AG19" s="1966">
        <v>459</v>
      </c>
      <c r="AH19" s="1966">
        <v>45</v>
      </c>
    </row>
    <row r="20" spans="1:34">
      <c r="A20" s="1860" t="s">
        <v>1734</v>
      </c>
      <c r="B20" s="1857" t="s">
        <v>923</v>
      </c>
      <c r="C20" s="1856">
        <v>43599</v>
      </c>
      <c r="D20" s="1856">
        <v>43599</v>
      </c>
      <c r="E20" s="1861" t="s">
        <v>177</v>
      </c>
      <c r="F20" s="1852" t="s">
        <v>719</v>
      </c>
      <c r="G20" s="1858" t="s">
        <v>916</v>
      </c>
      <c r="H20" s="1854">
        <v>867</v>
      </c>
      <c r="I20" s="1859">
        <v>867</v>
      </c>
      <c r="J20" s="1852"/>
      <c r="K20" s="1862" t="s">
        <v>917</v>
      </c>
      <c r="L20" s="1855">
        <v>26</v>
      </c>
      <c r="M20" s="1855">
        <v>104</v>
      </c>
      <c r="N20" s="1853">
        <v>43622</v>
      </c>
      <c r="P20" s="791" t="s">
        <v>206</v>
      </c>
      <c r="Q20" s="505"/>
      <c r="R20" s="1023"/>
      <c r="S20" s="1293" t="s">
        <v>988</v>
      </c>
      <c r="T20" s="2422" t="s">
        <v>1263</v>
      </c>
      <c r="U20" s="291" t="s">
        <v>1259</v>
      </c>
      <c r="V20" s="708" t="s">
        <v>1261</v>
      </c>
      <c r="W20" s="1966">
        <v>691</v>
      </c>
      <c r="X20" s="1966">
        <v>30</v>
      </c>
      <c r="Y20" s="1966">
        <v>561</v>
      </c>
      <c r="Z20" s="1966">
        <v>70</v>
      </c>
      <c r="AA20" s="1966">
        <v>424</v>
      </c>
      <c r="AB20" s="1966">
        <v>29</v>
      </c>
      <c r="AC20" s="1966">
        <v>324</v>
      </c>
      <c r="AD20" s="1966">
        <v>26</v>
      </c>
      <c r="AE20" s="1966">
        <v>161</v>
      </c>
      <c r="AF20" s="1966">
        <v>23</v>
      </c>
      <c r="AG20" s="1966">
        <v>87</v>
      </c>
      <c r="AH20" s="1966">
        <v>18</v>
      </c>
    </row>
    <row r="21" spans="1:34">
      <c r="A21" s="1860" t="s">
        <v>1734</v>
      </c>
      <c r="B21" s="1857" t="s">
        <v>923</v>
      </c>
      <c r="C21" s="1856">
        <v>43599</v>
      </c>
      <c r="D21" s="1856">
        <v>43599</v>
      </c>
      <c r="E21" s="1852" t="s">
        <v>159</v>
      </c>
      <c r="F21" s="1852" t="s">
        <v>719</v>
      </c>
      <c r="G21" s="1858" t="s">
        <v>918</v>
      </c>
      <c r="H21" s="1854">
        <v>152</v>
      </c>
      <c r="I21" s="1859">
        <v>152</v>
      </c>
      <c r="J21" s="1854"/>
      <c r="K21" s="1852" t="s">
        <v>917</v>
      </c>
      <c r="L21" s="1855">
        <v>6</v>
      </c>
      <c r="M21" s="1855">
        <v>24</v>
      </c>
      <c r="N21" s="1853">
        <v>43622</v>
      </c>
      <c r="P21" s="791" t="s">
        <v>205</v>
      </c>
      <c r="Q21" s="505"/>
      <c r="R21" s="1023"/>
      <c r="S21" s="1294"/>
      <c r="T21" s="2434"/>
      <c r="U21" s="292" t="s">
        <v>357</v>
      </c>
      <c r="V21" s="788" t="s">
        <v>359</v>
      </c>
      <c r="W21" s="1966">
        <v>838</v>
      </c>
      <c r="X21" s="1966">
        <v>65</v>
      </c>
      <c r="Y21" s="1966">
        <v>634</v>
      </c>
      <c r="Z21" s="1966">
        <v>61</v>
      </c>
      <c r="AA21" s="1966">
        <v>478</v>
      </c>
      <c r="AB21" s="1966">
        <v>37</v>
      </c>
      <c r="AC21" s="1966">
        <v>229</v>
      </c>
      <c r="AD21" s="1966">
        <v>29</v>
      </c>
      <c r="AE21" s="1966">
        <v>337</v>
      </c>
      <c r="AF21" s="1966">
        <v>66</v>
      </c>
      <c r="AG21" s="1966">
        <v>637</v>
      </c>
      <c r="AH21" s="1966">
        <v>29</v>
      </c>
    </row>
    <row r="22" spans="1:34">
      <c r="A22" s="1860" t="s">
        <v>1725</v>
      </c>
      <c r="B22" s="1857">
        <v>26</v>
      </c>
      <c r="C22" s="1856">
        <v>43599</v>
      </c>
      <c r="D22" s="1856">
        <v>43599</v>
      </c>
      <c r="E22" s="1861" t="s">
        <v>177</v>
      </c>
      <c r="F22" s="1852" t="s">
        <v>719</v>
      </c>
      <c r="G22" s="1858" t="s">
        <v>916</v>
      </c>
      <c r="H22" s="1854">
        <v>691</v>
      </c>
      <c r="I22" s="1859">
        <v>691</v>
      </c>
      <c r="J22" s="1852"/>
      <c r="K22" s="1862" t="s">
        <v>917</v>
      </c>
      <c r="L22" s="1855">
        <v>26</v>
      </c>
      <c r="M22" s="1855">
        <v>104</v>
      </c>
      <c r="N22" s="1853">
        <v>43622</v>
      </c>
      <c r="P22" s="464"/>
      <c r="Q22" s="505"/>
      <c r="R22" s="1023"/>
      <c r="S22" s="1295"/>
      <c r="T22" s="2423"/>
      <c r="U22" s="290" t="s">
        <v>1393</v>
      </c>
      <c r="V22" s="787" t="s">
        <v>358</v>
      </c>
      <c r="W22" s="1966">
        <v>1420</v>
      </c>
      <c r="X22" s="1966">
        <v>107</v>
      </c>
      <c r="Y22" s="1966">
        <v>1246</v>
      </c>
      <c r="Z22" s="1966">
        <v>153</v>
      </c>
      <c r="AA22" s="1966">
        <v>911</v>
      </c>
      <c r="AB22" s="1966">
        <v>147</v>
      </c>
      <c r="AC22" s="1966">
        <v>495</v>
      </c>
      <c r="AD22" s="1966">
        <v>111</v>
      </c>
      <c r="AE22" s="1966">
        <v>605</v>
      </c>
      <c r="AF22" s="1966">
        <v>150</v>
      </c>
      <c r="AG22" s="1966">
        <v>706</v>
      </c>
      <c r="AH22" s="1966">
        <v>109</v>
      </c>
    </row>
    <row r="23" spans="1:34">
      <c r="A23" s="1860" t="s">
        <v>1725</v>
      </c>
      <c r="B23" s="1857">
        <v>26</v>
      </c>
      <c r="C23" s="1856">
        <v>43599</v>
      </c>
      <c r="D23" s="1856">
        <v>43599</v>
      </c>
      <c r="E23" s="1852" t="s">
        <v>159</v>
      </c>
      <c r="F23" s="1852" t="s">
        <v>719</v>
      </c>
      <c r="G23" s="1858" t="s">
        <v>918</v>
      </c>
      <c r="H23" s="1854">
        <v>30</v>
      </c>
      <c r="I23" s="1859">
        <v>30</v>
      </c>
      <c r="J23" s="1852"/>
      <c r="K23" s="1852" t="s">
        <v>917</v>
      </c>
      <c r="L23" s="1855">
        <v>6</v>
      </c>
      <c r="M23" s="1855">
        <v>24</v>
      </c>
      <c r="N23" s="1853">
        <v>43622</v>
      </c>
      <c r="P23" s="507"/>
      <c r="Q23" s="505"/>
      <c r="R23" s="1023"/>
      <c r="S23" s="1292" t="s">
        <v>987</v>
      </c>
      <c r="T23" s="1994" t="s">
        <v>1264</v>
      </c>
      <c r="U23" s="290" t="s">
        <v>1392</v>
      </c>
      <c r="V23" s="787" t="s">
        <v>360</v>
      </c>
      <c r="W23" s="1966">
        <v>969</v>
      </c>
      <c r="X23" s="1966">
        <v>13</v>
      </c>
      <c r="Y23" s="1966">
        <v>803</v>
      </c>
      <c r="Z23" s="1966">
        <v>11</v>
      </c>
      <c r="AA23" s="1970"/>
      <c r="AB23" s="1970"/>
      <c r="AC23" s="1970"/>
      <c r="AD23" s="1970"/>
      <c r="AE23" s="1970"/>
      <c r="AF23" s="1970"/>
      <c r="AG23" s="1970"/>
      <c r="AH23" s="1970"/>
    </row>
    <row r="24" spans="1:34">
      <c r="A24" s="1860" t="s">
        <v>1720</v>
      </c>
      <c r="B24" s="1857">
        <v>64</v>
      </c>
      <c r="C24" s="1856">
        <v>43599</v>
      </c>
      <c r="D24" s="1856">
        <v>43599</v>
      </c>
      <c r="E24" s="1861" t="s">
        <v>177</v>
      </c>
      <c r="F24" s="1852" t="s">
        <v>719</v>
      </c>
      <c r="G24" s="1858" t="s">
        <v>916</v>
      </c>
      <c r="H24" s="1854">
        <v>838</v>
      </c>
      <c r="I24" s="1859">
        <v>838</v>
      </c>
      <c r="J24" s="1852"/>
      <c r="K24" s="1862" t="s">
        <v>917</v>
      </c>
      <c r="L24" s="1855">
        <v>26</v>
      </c>
      <c r="M24" s="1855">
        <v>104</v>
      </c>
      <c r="N24" s="1853">
        <v>43622</v>
      </c>
      <c r="P24" s="507"/>
      <c r="Q24" s="505"/>
      <c r="R24" s="1023"/>
      <c r="S24" s="1292" t="s">
        <v>1212</v>
      </c>
      <c r="T24" s="1994" t="s">
        <v>1217</v>
      </c>
      <c r="U24" s="290" t="s">
        <v>321</v>
      </c>
      <c r="V24" s="787" t="s">
        <v>1206</v>
      </c>
      <c r="W24" s="1968">
        <v>674</v>
      </c>
      <c r="X24" s="1968">
        <v>25</v>
      </c>
      <c r="Y24" s="1968">
        <v>446</v>
      </c>
      <c r="Z24" s="1968">
        <v>50</v>
      </c>
      <c r="AA24" s="1968">
        <v>334</v>
      </c>
      <c r="AB24" s="1968">
        <v>35</v>
      </c>
      <c r="AC24" s="1968">
        <v>451</v>
      </c>
      <c r="AD24" s="1968">
        <v>29</v>
      </c>
      <c r="AE24" s="1968">
        <v>750</v>
      </c>
      <c r="AF24" s="1968">
        <v>121</v>
      </c>
      <c r="AG24" s="1968">
        <v>613</v>
      </c>
      <c r="AH24" s="1968">
        <v>23</v>
      </c>
    </row>
    <row r="25" spans="1:34">
      <c r="A25" s="1860" t="s">
        <v>1720</v>
      </c>
      <c r="B25" s="1857">
        <v>64</v>
      </c>
      <c r="C25" s="1856">
        <v>43599</v>
      </c>
      <c r="D25" s="1856">
        <v>43599</v>
      </c>
      <c r="E25" s="1852" t="s">
        <v>159</v>
      </c>
      <c r="F25" s="1852" t="s">
        <v>719</v>
      </c>
      <c r="G25" s="1858" t="s">
        <v>918</v>
      </c>
      <c r="H25" s="1854">
        <v>65</v>
      </c>
      <c r="I25" s="1859">
        <v>65</v>
      </c>
      <c r="J25" s="1854"/>
      <c r="K25" s="1852" t="s">
        <v>917</v>
      </c>
      <c r="L25" s="1855">
        <v>6</v>
      </c>
      <c r="M25" s="1855">
        <v>24</v>
      </c>
      <c r="N25" s="1853">
        <v>43622</v>
      </c>
      <c r="P25" s="507"/>
      <c r="Q25" s="505"/>
      <c r="R25" s="1023"/>
      <c r="S25" s="1296" t="s">
        <v>990</v>
      </c>
      <c r="T25" s="1994" t="s">
        <v>848</v>
      </c>
      <c r="U25" s="791" t="s">
        <v>206</v>
      </c>
      <c r="V25" s="708" t="s">
        <v>225</v>
      </c>
      <c r="W25" s="1966">
        <v>558</v>
      </c>
      <c r="X25" s="1966">
        <v>12</v>
      </c>
      <c r="Y25" s="1966">
        <v>322</v>
      </c>
      <c r="Z25" s="1966">
        <v>14</v>
      </c>
      <c r="AA25" s="1966">
        <v>276</v>
      </c>
      <c r="AB25" s="1966">
        <v>13</v>
      </c>
      <c r="AC25" s="1966">
        <v>342</v>
      </c>
      <c r="AD25" s="1966">
        <v>111</v>
      </c>
      <c r="AE25" s="1966">
        <v>376</v>
      </c>
      <c r="AF25" s="1966">
        <v>21</v>
      </c>
      <c r="AG25" s="1966">
        <v>191</v>
      </c>
      <c r="AH25" s="1966">
        <v>12</v>
      </c>
    </row>
    <row r="26" spans="1:34">
      <c r="A26" s="1860" t="s">
        <v>1728</v>
      </c>
      <c r="B26" s="1857" t="s">
        <v>1257</v>
      </c>
      <c r="C26" s="1856">
        <v>43599</v>
      </c>
      <c r="D26" s="1856">
        <v>43599</v>
      </c>
      <c r="E26" s="1861" t="s">
        <v>177</v>
      </c>
      <c r="F26" s="1852" t="s">
        <v>719</v>
      </c>
      <c r="G26" s="1858" t="s">
        <v>916</v>
      </c>
      <c r="H26" s="1854">
        <v>1420</v>
      </c>
      <c r="I26" s="1859">
        <v>1420</v>
      </c>
      <c r="J26" s="1852"/>
      <c r="K26" s="1862" t="s">
        <v>917</v>
      </c>
      <c r="L26" s="1855">
        <v>26</v>
      </c>
      <c r="M26" s="1855">
        <v>104</v>
      </c>
      <c r="N26" s="1853">
        <v>43622</v>
      </c>
      <c r="P26" s="507"/>
      <c r="Q26" s="505"/>
      <c r="R26" s="1023"/>
      <c r="S26" s="2428" t="s">
        <v>989</v>
      </c>
      <c r="T26" s="2422" t="s">
        <v>848</v>
      </c>
      <c r="U26" s="791" t="s">
        <v>205</v>
      </c>
      <c r="V26" s="708" t="s">
        <v>696</v>
      </c>
      <c r="W26" s="1966">
        <v>403</v>
      </c>
      <c r="X26" s="1966">
        <v>31</v>
      </c>
      <c r="Y26" s="1966">
        <v>524</v>
      </c>
      <c r="Z26" s="1966">
        <v>26</v>
      </c>
      <c r="AA26" s="1966">
        <v>498</v>
      </c>
      <c r="AB26" s="1966">
        <v>30</v>
      </c>
      <c r="AC26" s="1966">
        <v>556</v>
      </c>
      <c r="AD26" s="1966">
        <v>87</v>
      </c>
      <c r="AE26" s="1966">
        <v>524</v>
      </c>
      <c r="AF26" s="1966">
        <v>103</v>
      </c>
      <c r="AG26" s="1966">
        <v>246</v>
      </c>
      <c r="AH26" s="1966">
        <v>16</v>
      </c>
    </row>
    <row r="27" spans="1:34">
      <c r="A27" s="1860" t="s">
        <v>1728</v>
      </c>
      <c r="B27" s="1857" t="s">
        <v>1257</v>
      </c>
      <c r="C27" s="1856">
        <v>43599</v>
      </c>
      <c r="D27" s="1856">
        <v>43599</v>
      </c>
      <c r="E27" s="1852" t="s">
        <v>159</v>
      </c>
      <c r="F27" s="1852" t="s">
        <v>719</v>
      </c>
      <c r="G27" s="1858" t="s">
        <v>918</v>
      </c>
      <c r="H27" s="1854">
        <v>107</v>
      </c>
      <c r="I27" s="1859">
        <v>107</v>
      </c>
      <c r="J27" s="1854"/>
      <c r="K27" s="1852" t="s">
        <v>917</v>
      </c>
      <c r="L27" s="1855">
        <v>6</v>
      </c>
      <c r="M27" s="1855">
        <v>24</v>
      </c>
      <c r="N27" s="1853">
        <v>43622</v>
      </c>
      <c r="P27" s="507"/>
      <c r="Q27" s="505"/>
      <c r="R27" s="1023"/>
      <c r="S27" s="2429"/>
      <c r="T27" s="2423"/>
      <c r="U27" s="464" t="s">
        <v>334</v>
      </c>
      <c r="V27" s="1114" t="s">
        <v>1218</v>
      </c>
      <c r="W27" s="1973">
        <v>625</v>
      </c>
      <c r="X27" s="1973">
        <v>7</v>
      </c>
      <c r="Y27" s="1997">
        <v>463</v>
      </c>
      <c r="Z27" s="1997">
        <v>28</v>
      </c>
      <c r="AA27" s="1997">
        <v>679</v>
      </c>
      <c r="AB27" s="1997">
        <v>15</v>
      </c>
      <c r="AC27" s="1996">
        <v>507</v>
      </c>
      <c r="AD27" s="1996">
        <v>41</v>
      </c>
      <c r="AE27" s="1996">
        <v>657</v>
      </c>
      <c r="AF27" s="1996">
        <v>6</v>
      </c>
      <c r="AG27" s="1973">
        <v>725</v>
      </c>
      <c r="AH27" s="1973">
        <v>13</v>
      </c>
    </row>
    <row r="28" spans="1:34">
      <c r="A28" s="1860" t="s">
        <v>1735</v>
      </c>
      <c r="B28" s="1857" t="s">
        <v>1224</v>
      </c>
      <c r="C28" s="1856">
        <v>43599</v>
      </c>
      <c r="D28" s="1856">
        <v>43599</v>
      </c>
      <c r="E28" s="1861" t="s">
        <v>177</v>
      </c>
      <c r="F28" s="1852" t="s">
        <v>719</v>
      </c>
      <c r="G28" s="1858" t="s">
        <v>916</v>
      </c>
      <c r="H28" s="1854">
        <v>969</v>
      </c>
      <c r="I28" s="1859">
        <v>969</v>
      </c>
      <c r="J28" s="1852"/>
      <c r="K28" s="1862" t="s">
        <v>917</v>
      </c>
      <c r="L28" s="1855">
        <v>26</v>
      </c>
      <c r="M28" s="1855">
        <v>104</v>
      </c>
      <c r="N28" s="1853">
        <v>43622</v>
      </c>
      <c r="P28" s="507"/>
      <c r="Q28" s="1807"/>
      <c r="R28" s="1953"/>
      <c r="S28" s="1292" t="s">
        <v>1213</v>
      </c>
      <c r="T28" s="1994" t="s">
        <v>859</v>
      </c>
      <c r="U28" s="290" t="s">
        <v>1204</v>
      </c>
      <c r="V28" s="787" t="s">
        <v>1205</v>
      </c>
      <c r="W28" s="1973">
        <v>737</v>
      </c>
      <c r="X28" s="1973">
        <v>18</v>
      </c>
      <c r="Y28" s="1997">
        <v>516</v>
      </c>
      <c r="Z28" s="1997">
        <v>31</v>
      </c>
      <c r="AA28" s="1997">
        <v>429</v>
      </c>
      <c r="AB28" s="1997">
        <v>25</v>
      </c>
      <c r="AC28" s="1996">
        <v>502</v>
      </c>
      <c r="AD28" s="1996">
        <v>46</v>
      </c>
      <c r="AE28" s="1996">
        <v>369</v>
      </c>
      <c r="AF28" s="1996">
        <v>27</v>
      </c>
      <c r="AG28" s="1973">
        <v>606</v>
      </c>
      <c r="AH28" s="1973">
        <v>64</v>
      </c>
    </row>
    <row r="29" spans="1:34">
      <c r="A29" s="1860" t="s">
        <v>1735</v>
      </c>
      <c r="B29" s="1857" t="s">
        <v>1224</v>
      </c>
      <c r="C29" s="1856">
        <v>43599</v>
      </c>
      <c r="D29" s="1856">
        <v>43599</v>
      </c>
      <c r="E29" s="1852" t="s">
        <v>159</v>
      </c>
      <c r="F29" s="1852" t="s">
        <v>719</v>
      </c>
      <c r="G29" s="1858" t="s">
        <v>918</v>
      </c>
      <c r="H29" s="1854">
        <v>13</v>
      </c>
      <c r="I29" s="1859">
        <v>13</v>
      </c>
      <c r="J29" s="1854" t="s">
        <v>926</v>
      </c>
      <c r="K29" s="1852" t="s">
        <v>917</v>
      </c>
      <c r="L29" s="1855">
        <v>6</v>
      </c>
      <c r="M29" s="1855">
        <v>24</v>
      </c>
      <c r="N29" s="1853">
        <v>43622</v>
      </c>
      <c r="P29" s="507"/>
      <c r="Q29" s="1807"/>
      <c r="R29" s="1953"/>
      <c r="S29" s="2430" t="s">
        <v>1215</v>
      </c>
      <c r="T29" s="2422" t="s">
        <v>1214</v>
      </c>
      <c r="U29" s="290" t="s">
        <v>327</v>
      </c>
      <c r="V29" s="1115" t="s">
        <v>1208</v>
      </c>
      <c r="W29" s="1973">
        <v>811</v>
      </c>
      <c r="X29" s="1973">
        <v>28</v>
      </c>
      <c r="Y29" s="1997">
        <v>521</v>
      </c>
      <c r="Z29" s="1997">
        <v>24</v>
      </c>
      <c r="AA29" s="1997">
        <v>409</v>
      </c>
      <c r="AB29" s="1997">
        <v>33</v>
      </c>
      <c r="AC29" s="1996">
        <v>572</v>
      </c>
      <c r="AD29" s="1996">
        <v>35</v>
      </c>
      <c r="AE29" s="1996">
        <v>546</v>
      </c>
      <c r="AF29" s="1996">
        <v>55</v>
      </c>
      <c r="AG29" s="1973">
        <v>371</v>
      </c>
      <c r="AH29" s="1973">
        <v>33</v>
      </c>
    </row>
    <row r="30" spans="1:34">
      <c r="A30" s="1860" t="s">
        <v>1733</v>
      </c>
      <c r="B30" s="1857">
        <v>19</v>
      </c>
      <c r="C30" s="1856">
        <v>43599</v>
      </c>
      <c r="D30" s="1856">
        <v>43599</v>
      </c>
      <c r="E30" s="1861" t="s">
        <v>177</v>
      </c>
      <c r="F30" s="1852" t="s">
        <v>719</v>
      </c>
      <c r="G30" s="1858" t="s">
        <v>916</v>
      </c>
      <c r="H30" s="1854">
        <v>558</v>
      </c>
      <c r="I30" s="1859">
        <v>558</v>
      </c>
      <c r="J30" s="1852"/>
      <c r="K30" s="1862" t="s">
        <v>917</v>
      </c>
      <c r="L30" s="1855">
        <v>26</v>
      </c>
      <c r="M30" s="1855">
        <v>104</v>
      </c>
      <c r="N30" s="1853">
        <v>43622</v>
      </c>
      <c r="P30" s="507"/>
      <c r="Q30" s="505"/>
      <c r="R30" s="1023"/>
      <c r="S30" s="2430"/>
      <c r="T30" s="2423"/>
      <c r="U30" s="790" t="s">
        <v>793</v>
      </c>
      <c r="V30" s="1116" t="s">
        <v>1207</v>
      </c>
      <c r="W30" s="1973">
        <v>624</v>
      </c>
      <c r="X30" s="1973">
        <v>17</v>
      </c>
      <c r="Y30" s="1973">
        <v>522</v>
      </c>
      <c r="Z30" s="1973">
        <v>35</v>
      </c>
      <c r="AA30" s="1996">
        <v>477</v>
      </c>
      <c r="AB30" s="1996">
        <v>59</v>
      </c>
      <c r="AC30" s="1996">
        <v>679</v>
      </c>
      <c r="AD30" s="1996">
        <v>89</v>
      </c>
      <c r="AE30" s="1996">
        <v>911</v>
      </c>
      <c r="AF30" s="1996">
        <v>111</v>
      </c>
      <c r="AG30" s="1973">
        <v>650</v>
      </c>
      <c r="AH30" s="1973">
        <v>18</v>
      </c>
    </row>
    <row r="31" spans="1:34">
      <c r="A31" s="1860" t="s">
        <v>1733</v>
      </c>
      <c r="B31" s="1857">
        <v>19</v>
      </c>
      <c r="C31" s="1856">
        <v>43599</v>
      </c>
      <c r="D31" s="1856">
        <v>43599</v>
      </c>
      <c r="E31" s="1852" t="s">
        <v>159</v>
      </c>
      <c r="F31" s="1852" t="s">
        <v>719</v>
      </c>
      <c r="G31" s="1858" t="s">
        <v>918</v>
      </c>
      <c r="H31" s="1854">
        <v>12</v>
      </c>
      <c r="I31" s="1859">
        <v>12</v>
      </c>
      <c r="J31" s="1854" t="s">
        <v>926</v>
      </c>
      <c r="K31" s="1852" t="s">
        <v>917</v>
      </c>
      <c r="L31" s="1855">
        <v>6</v>
      </c>
      <c r="M31" s="1855">
        <v>24</v>
      </c>
      <c r="N31" s="1853">
        <v>43622</v>
      </c>
      <c r="P31" s="507"/>
      <c r="Q31" s="505"/>
      <c r="R31" s="1023"/>
      <c r="W31" s="1957"/>
      <c r="X31" s="1957"/>
      <c r="Y31" s="1957"/>
      <c r="Z31" s="1957"/>
      <c r="AA31" s="1957"/>
      <c r="AB31" s="1957"/>
      <c r="AC31" s="1957"/>
      <c r="AD31" s="1957"/>
      <c r="AE31" s="1957"/>
      <c r="AF31" s="1957"/>
      <c r="AG31" s="1957"/>
      <c r="AH31" s="1957"/>
    </row>
    <row r="32" spans="1:34">
      <c r="A32" s="1860" t="s">
        <v>1732</v>
      </c>
      <c r="B32" s="1857">
        <v>18</v>
      </c>
      <c r="C32" s="1856">
        <v>43599</v>
      </c>
      <c r="D32" s="1856">
        <v>43599</v>
      </c>
      <c r="E32" s="1861" t="s">
        <v>177</v>
      </c>
      <c r="F32" s="1852" t="s">
        <v>719</v>
      </c>
      <c r="G32" s="1858" t="s">
        <v>916</v>
      </c>
      <c r="H32" s="1854">
        <v>403</v>
      </c>
      <c r="I32" s="1859">
        <v>403</v>
      </c>
      <c r="J32" s="1852"/>
      <c r="K32" s="1862" t="s">
        <v>917</v>
      </c>
      <c r="L32" s="1855">
        <v>26</v>
      </c>
      <c r="M32" s="1855">
        <v>104</v>
      </c>
      <c r="N32" s="1853">
        <v>43622</v>
      </c>
      <c r="P32" s="507"/>
      <c r="Q32" s="505"/>
      <c r="R32" s="1023"/>
      <c r="W32" s="1956"/>
      <c r="X32" s="1956"/>
      <c r="Y32" s="1956"/>
      <c r="Z32" s="1956"/>
      <c r="AA32" s="1956"/>
      <c r="AB32" s="1956"/>
      <c r="AC32" s="1956"/>
      <c r="AD32" s="1956"/>
      <c r="AE32" s="1956"/>
      <c r="AF32" s="1956"/>
      <c r="AG32" s="1956"/>
      <c r="AH32" s="1956"/>
    </row>
    <row r="33" spans="1:34">
      <c r="A33" s="1860" t="s">
        <v>1732</v>
      </c>
      <c r="B33" s="1857">
        <v>18</v>
      </c>
      <c r="C33" s="1856">
        <v>43599</v>
      </c>
      <c r="D33" s="1856">
        <v>43599</v>
      </c>
      <c r="E33" s="1852" t="s">
        <v>159</v>
      </c>
      <c r="F33" s="1852" t="s">
        <v>719</v>
      </c>
      <c r="G33" s="1858" t="s">
        <v>918</v>
      </c>
      <c r="H33" s="1854">
        <v>31</v>
      </c>
      <c r="I33" s="1859">
        <v>31</v>
      </c>
      <c r="J33" s="1854"/>
      <c r="K33" s="1852" t="s">
        <v>917</v>
      </c>
      <c r="L33" s="1855">
        <v>6</v>
      </c>
      <c r="M33" s="1855">
        <v>24</v>
      </c>
      <c r="N33" s="1853">
        <v>43622</v>
      </c>
      <c r="P33" s="507"/>
      <c r="Q33" s="505"/>
      <c r="R33" s="1023"/>
      <c r="W33" s="1990"/>
      <c r="X33" s="1990"/>
      <c r="Y33" s="1990"/>
      <c r="Z33" s="1990"/>
      <c r="AA33" s="1990"/>
      <c r="AB33" s="1990"/>
      <c r="AC33" s="1990"/>
      <c r="AD33" s="1990"/>
      <c r="AE33" s="1990"/>
      <c r="AF33" s="1990"/>
      <c r="AG33" s="1990"/>
      <c r="AH33" s="1990"/>
    </row>
    <row r="34" spans="1:34">
      <c r="A34" s="1949" t="s">
        <v>1749</v>
      </c>
      <c r="B34" s="1946">
        <v>58</v>
      </c>
      <c r="C34" s="1945">
        <v>43636</v>
      </c>
      <c r="D34" s="1945">
        <v>43636</v>
      </c>
      <c r="E34" s="1951" t="s">
        <v>177</v>
      </c>
      <c r="F34" s="1941" t="s">
        <v>719</v>
      </c>
      <c r="G34" s="1947" t="s">
        <v>916</v>
      </c>
      <c r="H34" s="1943">
        <v>281</v>
      </c>
      <c r="I34" s="1948">
        <v>281</v>
      </c>
      <c r="J34" s="1941"/>
      <c r="K34" s="1952" t="s">
        <v>917</v>
      </c>
      <c r="L34" s="1944">
        <v>26</v>
      </c>
      <c r="M34" s="1944">
        <v>104</v>
      </c>
      <c r="N34" s="1942">
        <v>43656</v>
      </c>
      <c r="P34" s="507"/>
      <c r="Q34" s="1807"/>
      <c r="R34" s="1953"/>
    </row>
    <row r="35" spans="1:34">
      <c r="A35" s="1949" t="s">
        <v>1749</v>
      </c>
      <c r="B35" s="1946">
        <v>58</v>
      </c>
      <c r="C35" s="1945">
        <v>43636</v>
      </c>
      <c r="D35" s="1945">
        <v>43636</v>
      </c>
      <c r="E35" s="1941" t="s">
        <v>159</v>
      </c>
      <c r="F35" s="1941" t="s">
        <v>719</v>
      </c>
      <c r="G35" s="1947" t="s">
        <v>918</v>
      </c>
      <c r="H35" s="1943">
        <v>7</v>
      </c>
      <c r="I35" s="1948">
        <v>7</v>
      </c>
      <c r="J35" s="1943" t="s">
        <v>926</v>
      </c>
      <c r="K35" s="1941" t="s">
        <v>917</v>
      </c>
      <c r="L35" s="1944">
        <v>6</v>
      </c>
      <c r="M35" s="1944">
        <v>24</v>
      </c>
      <c r="N35" s="1942">
        <v>43656</v>
      </c>
      <c r="P35" s="507"/>
      <c r="Q35" s="1807"/>
      <c r="R35" s="1953"/>
    </row>
    <row r="36" spans="1:34" ht="13.5" customHeight="1">
      <c r="A36" s="1871" t="s">
        <v>1737</v>
      </c>
      <c r="B36" s="1868" t="s">
        <v>1254</v>
      </c>
      <c r="C36" s="1867">
        <v>43636</v>
      </c>
      <c r="D36" s="1867">
        <v>43636</v>
      </c>
      <c r="E36" s="1872" t="s">
        <v>177</v>
      </c>
      <c r="F36" s="1863" t="s">
        <v>719</v>
      </c>
      <c r="G36" s="1869" t="s">
        <v>916</v>
      </c>
      <c r="H36" s="1865">
        <v>258</v>
      </c>
      <c r="I36" s="1870">
        <v>258</v>
      </c>
      <c r="J36" s="1863"/>
      <c r="K36" s="1873" t="s">
        <v>917</v>
      </c>
      <c r="L36" s="1866">
        <v>26</v>
      </c>
      <c r="M36" s="1866">
        <v>104</v>
      </c>
      <c r="N36" s="1864">
        <v>43656</v>
      </c>
      <c r="P36" s="507"/>
      <c r="Q36" s="505"/>
      <c r="R36" s="1023"/>
    </row>
    <row r="37" spans="1:34">
      <c r="A37" s="1871" t="s">
        <v>1737</v>
      </c>
      <c r="B37" s="1868" t="s">
        <v>1254</v>
      </c>
      <c r="C37" s="1867">
        <v>43636</v>
      </c>
      <c r="D37" s="1867">
        <v>43636</v>
      </c>
      <c r="E37" s="1863" t="s">
        <v>159</v>
      </c>
      <c r="F37" s="1863" t="s">
        <v>719</v>
      </c>
      <c r="G37" s="1869" t="s">
        <v>918</v>
      </c>
      <c r="H37" s="1865">
        <v>19</v>
      </c>
      <c r="I37" s="1870">
        <v>19</v>
      </c>
      <c r="J37" s="1865" t="s">
        <v>926</v>
      </c>
      <c r="K37" s="1863" t="s">
        <v>917</v>
      </c>
      <c r="L37" s="1866">
        <v>6</v>
      </c>
      <c r="M37" s="1866">
        <v>24</v>
      </c>
      <c r="N37" s="1864">
        <v>43656</v>
      </c>
      <c r="P37" s="507"/>
      <c r="Q37" s="505"/>
      <c r="R37" s="1023"/>
      <c r="S37" s="792"/>
    </row>
    <row r="38" spans="1:34">
      <c r="A38" s="1863" t="s">
        <v>1738</v>
      </c>
      <c r="B38" s="1868" t="s">
        <v>1255</v>
      </c>
      <c r="C38" s="1867">
        <v>43636</v>
      </c>
      <c r="D38" s="1867">
        <v>43636</v>
      </c>
      <c r="E38" s="1872" t="s">
        <v>177</v>
      </c>
      <c r="F38" s="1863" t="s">
        <v>719</v>
      </c>
      <c r="G38" s="1869" t="s">
        <v>916</v>
      </c>
      <c r="H38" s="1865">
        <v>261</v>
      </c>
      <c r="I38" s="1870">
        <v>261</v>
      </c>
      <c r="J38" s="1863"/>
      <c r="K38" s="1873" t="s">
        <v>917</v>
      </c>
      <c r="L38" s="1866">
        <v>26</v>
      </c>
      <c r="M38" s="1866">
        <v>104</v>
      </c>
      <c r="N38" s="1864">
        <v>43656</v>
      </c>
      <c r="P38" s="507"/>
      <c r="Q38" s="505"/>
      <c r="R38" s="1023"/>
      <c r="S38" s="507"/>
    </row>
    <row r="39" spans="1:34">
      <c r="A39" s="1863" t="s">
        <v>1738</v>
      </c>
      <c r="B39" s="1868" t="s">
        <v>1255</v>
      </c>
      <c r="C39" s="1867">
        <v>43636</v>
      </c>
      <c r="D39" s="1867">
        <v>43636</v>
      </c>
      <c r="E39" s="1863" t="s">
        <v>159</v>
      </c>
      <c r="F39" s="1863" t="s">
        <v>719</v>
      </c>
      <c r="G39" s="1869" t="s">
        <v>918</v>
      </c>
      <c r="H39" s="1865">
        <v>19</v>
      </c>
      <c r="I39" s="1870">
        <v>19</v>
      </c>
      <c r="J39" s="1865" t="s">
        <v>926</v>
      </c>
      <c r="K39" s="1863" t="s">
        <v>917</v>
      </c>
      <c r="L39" s="1866">
        <v>6</v>
      </c>
      <c r="M39" s="1866">
        <v>24</v>
      </c>
      <c r="N39" s="1864">
        <v>43656</v>
      </c>
      <c r="P39" s="507"/>
      <c r="Q39" s="505"/>
      <c r="R39" s="1023"/>
      <c r="S39" s="507"/>
    </row>
    <row r="40" spans="1:34">
      <c r="A40" s="1871" t="s">
        <v>1736</v>
      </c>
      <c r="B40" s="1868">
        <v>25</v>
      </c>
      <c r="C40" s="1867">
        <v>43636</v>
      </c>
      <c r="D40" s="1867">
        <v>43636</v>
      </c>
      <c r="E40" s="1872" t="s">
        <v>177</v>
      </c>
      <c r="F40" s="1863" t="s">
        <v>719</v>
      </c>
      <c r="G40" s="1869" t="s">
        <v>916</v>
      </c>
      <c r="H40" s="1865">
        <v>146</v>
      </c>
      <c r="I40" s="1870">
        <v>146</v>
      </c>
      <c r="J40" s="1863"/>
      <c r="K40" s="1873" t="s">
        <v>917</v>
      </c>
      <c r="L40" s="1866">
        <v>26</v>
      </c>
      <c r="M40" s="1866">
        <v>104</v>
      </c>
      <c r="N40" s="1864">
        <v>43656</v>
      </c>
      <c r="P40" s="507"/>
      <c r="Q40" s="1807"/>
      <c r="R40" s="1953"/>
      <c r="S40" s="507"/>
    </row>
    <row r="41" spans="1:34">
      <c r="A41" s="1871" t="s">
        <v>1736</v>
      </c>
      <c r="B41" s="1868">
        <v>25</v>
      </c>
      <c r="C41" s="1867">
        <v>43636</v>
      </c>
      <c r="D41" s="1867">
        <v>43636</v>
      </c>
      <c r="E41" s="1863" t="s">
        <v>159</v>
      </c>
      <c r="F41" s="1863" t="s">
        <v>719</v>
      </c>
      <c r="G41" s="1869" t="s">
        <v>918</v>
      </c>
      <c r="H41" s="1865">
        <v>7</v>
      </c>
      <c r="I41" s="1870">
        <v>7</v>
      </c>
      <c r="J41" s="1865" t="s">
        <v>926</v>
      </c>
      <c r="K41" s="1863" t="s">
        <v>917</v>
      </c>
      <c r="L41" s="1866">
        <v>6</v>
      </c>
      <c r="M41" s="1866">
        <v>24</v>
      </c>
      <c r="N41" s="1864">
        <v>43656</v>
      </c>
      <c r="P41" s="507"/>
      <c r="Q41" s="1807"/>
      <c r="R41" s="1953"/>
      <c r="S41" s="507"/>
    </row>
    <row r="42" spans="1:34">
      <c r="A42" s="1871" t="s">
        <v>1740</v>
      </c>
      <c r="B42" s="1868">
        <v>5</v>
      </c>
      <c r="C42" s="1867">
        <v>43636</v>
      </c>
      <c r="D42" s="1867">
        <v>43636</v>
      </c>
      <c r="E42" s="1872" t="s">
        <v>177</v>
      </c>
      <c r="F42" s="1863" t="s">
        <v>719</v>
      </c>
      <c r="G42" s="1869" t="s">
        <v>916</v>
      </c>
      <c r="H42" s="1865">
        <v>298</v>
      </c>
      <c r="I42" s="1870">
        <v>298</v>
      </c>
      <c r="J42" s="1863"/>
      <c r="K42" s="1873" t="s">
        <v>917</v>
      </c>
      <c r="L42" s="1866">
        <v>26</v>
      </c>
      <c r="M42" s="1866">
        <v>104</v>
      </c>
      <c r="N42" s="1864">
        <v>43656</v>
      </c>
      <c r="P42" s="507"/>
      <c r="Q42" s="1807"/>
      <c r="R42" s="1953"/>
      <c r="S42" s="507"/>
    </row>
    <row r="43" spans="1:34">
      <c r="A43" s="1871" t="s">
        <v>1740</v>
      </c>
      <c r="B43" s="1868">
        <v>5</v>
      </c>
      <c r="C43" s="1867">
        <v>43636</v>
      </c>
      <c r="D43" s="1867">
        <v>43636</v>
      </c>
      <c r="E43" s="1863" t="s">
        <v>159</v>
      </c>
      <c r="F43" s="1863" t="s">
        <v>719</v>
      </c>
      <c r="G43" s="1869" t="s">
        <v>918</v>
      </c>
      <c r="H43" s="1865">
        <v>25</v>
      </c>
      <c r="I43" s="1870">
        <v>25</v>
      </c>
      <c r="J43" s="1865"/>
      <c r="K43" s="1863" t="s">
        <v>917</v>
      </c>
      <c r="L43" s="1866">
        <v>6</v>
      </c>
      <c r="M43" s="1866">
        <v>24</v>
      </c>
      <c r="N43" s="1864">
        <v>43656</v>
      </c>
      <c r="P43" s="507"/>
      <c r="Q43" s="1807"/>
      <c r="R43" s="1953"/>
      <c r="S43" s="507"/>
    </row>
    <row r="44" spans="1:34">
      <c r="A44" s="1871" t="s">
        <v>1741</v>
      </c>
      <c r="B44" s="1868" t="s">
        <v>1256</v>
      </c>
      <c r="C44" s="1867">
        <v>43636</v>
      </c>
      <c r="D44" s="1867">
        <v>43636</v>
      </c>
      <c r="E44" s="1872" t="s">
        <v>177</v>
      </c>
      <c r="F44" s="1863" t="s">
        <v>719</v>
      </c>
      <c r="G44" s="1869" t="s">
        <v>916</v>
      </c>
      <c r="H44" s="1865">
        <v>333</v>
      </c>
      <c r="I44" s="1870">
        <v>333</v>
      </c>
      <c r="J44" s="1863"/>
      <c r="K44" s="1873" t="s">
        <v>917</v>
      </c>
      <c r="L44" s="1866">
        <v>26</v>
      </c>
      <c r="M44" s="1866">
        <v>104</v>
      </c>
      <c r="N44" s="1864">
        <v>43656</v>
      </c>
      <c r="P44" s="507"/>
      <c r="Q44" s="1807"/>
      <c r="R44" s="1953"/>
      <c r="S44" s="507"/>
    </row>
    <row r="45" spans="1:34">
      <c r="A45" s="1871" t="s">
        <v>1741</v>
      </c>
      <c r="B45" s="1868" t="s">
        <v>1256</v>
      </c>
      <c r="C45" s="1867">
        <v>43636</v>
      </c>
      <c r="D45" s="1867">
        <v>43636</v>
      </c>
      <c r="E45" s="1863" t="s">
        <v>159</v>
      </c>
      <c r="F45" s="1863" t="s">
        <v>719</v>
      </c>
      <c r="G45" s="1869" t="s">
        <v>918</v>
      </c>
      <c r="H45" s="1865">
        <v>38</v>
      </c>
      <c r="I45" s="1870">
        <v>38</v>
      </c>
      <c r="J45" s="1863"/>
      <c r="K45" s="1863" t="s">
        <v>917</v>
      </c>
      <c r="L45" s="1866">
        <v>6</v>
      </c>
      <c r="M45" s="1866">
        <v>24</v>
      </c>
      <c r="N45" s="1864">
        <v>43656</v>
      </c>
      <c r="P45" s="507"/>
      <c r="Q45" s="1807"/>
      <c r="R45" s="1953"/>
      <c r="S45" s="507"/>
    </row>
    <row r="46" spans="1:34">
      <c r="A46" s="1871" t="s">
        <v>1743</v>
      </c>
      <c r="B46" s="1868">
        <v>9</v>
      </c>
      <c r="C46" s="1867">
        <v>43636</v>
      </c>
      <c r="D46" s="1867">
        <v>43636</v>
      </c>
      <c r="E46" s="1872" t="s">
        <v>177</v>
      </c>
      <c r="F46" s="1863" t="s">
        <v>719</v>
      </c>
      <c r="G46" s="1869" t="s">
        <v>916</v>
      </c>
      <c r="H46" s="1865">
        <v>326</v>
      </c>
      <c r="I46" s="1870">
        <v>326</v>
      </c>
      <c r="J46" s="1863"/>
      <c r="K46" s="1873" t="s">
        <v>917</v>
      </c>
      <c r="L46" s="1866">
        <v>26</v>
      </c>
      <c r="M46" s="1866">
        <v>104</v>
      </c>
      <c r="N46" s="1864">
        <v>43656</v>
      </c>
      <c r="Q46" s="507"/>
      <c r="R46" s="507"/>
      <c r="S46" s="507"/>
    </row>
    <row r="47" spans="1:34">
      <c r="A47" s="1871" t="s">
        <v>1743</v>
      </c>
      <c r="B47" s="1868">
        <v>9</v>
      </c>
      <c r="C47" s="1867">
        <v>43636</v>
      </c>
      <c r="D47" s="1867">
        <v>43636</v>
      </c>
      <c r="E47" s="1863" t="s">
        <v>159</v>
      </c>
      <c r="F47" s="1863" t="s">
        <v>719</v>
      </c>
      <c r="G47" s="1869" t="s">
        <v>918</v>
      </c>
      <c r="H47" s="1865">
        <v>24</v>
      </c>
      <c r="I47" s="1870">
        <v>24</v>
      </c>
      <c r="J47" s="1865" t="s">
        <v>926</v>
      </c>
      <c r="K47" s="1863" t="s">
        <v>917</v>
      </c>
      <c r="L47" s="1866">
        <v>6</v>
      </c>
      <c r="M47" s="1866">
        <v>24</v>
      </c>
      <c r="N47" s="1864">
        <v>43656</v>
      </c>
      <c r="Q47" s="507"/>
      <c r="R47" s="507"/>
      <c r="S47" s="507"/>
    </row>
    <row r="48" spans="1:34">
      <c r="A48" s="1871" t="s">
        <v>1744</v>
      </c>
      <c r="B48" s="1868">
        <v>12</v>
      </c>
      <c r="C48" s="1867">
        <v>43636</v>
      </c>
      <c r="D48" s="1867">
        <v>43636</v>
      </c>
      <c r="E48" s="1872" t="s">
        <v>177</v>
      </c>
      <c r="F48" s="1863" t="s">
        <v>719</v>
      </c>
      <c r="G48" s="1869" t="s">
        <v>916</v>
      </c>
      <c r="H48" s="1865">
        <v>404</v>
      </c>
      <c r="I48" s="1870">
        <v>404</v>
      </c>
      <c r="J48" s="1863"/>
      <c r="K48" s="1873" t="s">
        <v>917</v>
      </c>
      <c r="L48" s="1866">
        <v>26</v>
      </c>
      <c r="M48" s="1866">
        <v>104</v>
      </c>
      <c r="N48" s="1864">
        <v>43656</v>
      </c>
      <c r="Q48" s="507"/>
      <c r="R48" s="507"/>
      <c r="S48" s="507"/>
    </row>
    <row r="49" spans="1:29">
      <c r="A49" s="1871" t="s">
        <v>1744</v>
      </c>
      <c r="B49" s="1868">
        <v>12</v>
      </c>
      <c r="C49" s="1867">
        <v>43636</v>
      </c>
      <c r="D49" s="1867">
        <v>43636</v>
      </c>
      <c r="E49" s="1863" t="s">
        <v>159</v>
      </c>
      <c r="F49" s="1863" t="s">
        <v>719</v>
      </c>
      <c r="G49" s="1869" t="s">
        <v>918</v>
      </c>
      <c r="H49" s="1865">
        <v>38</v>
      </c>
      <c r="I49" s="1870">
        <v>38</v>
      </c>
      <c r="J49" s="1865"/>
      <c r="K49" s="1863" t="s">
        <v>917</v>
      </c>
      <c r="L49" s="1866">
        <v>6</v>
      </c>
      <c r="M49" s="1866">
        <v>24</v>
      </c>
      <c r="N49" s="1864">
        <v>43656</v>
      </c>
      <c r="Q49" s="507"/>
      <c r="R49" s="507"/>
      <c r="S49" s="507"/>
    </row>
    <row r="50" spans="1:29">
      <c r="A50" s="1871" t="s">
        <v>1745</v>
      </c>
      <c r="B50" s="1868" t="s">
        <v>1258</v>
      </c>
      <c r="C50" s="1867">
        <v>43636</v>
      </c>
      <c r="D50" s="1867">
        <v>43636</v>
      </c>
      <c r="E50" s="1872" t="s">
        <v>177</v>
      </c>
      <c r="F50" s="1863" t="s">
        <v>719</v>
      </c>
      <c r="G50" s="1869" t="s">
        <v>916</v>
      </c>
      <c r="H50" s="1865">
        <v>367</v>
      </c>
      <c r="I50" s="1870">
        <v>367</v>
      </c>
      <c r="J50" s="1863"/>
      <c r="K50" s="1873" t="s">
        <v>917</v>
      </c>
      <c r="L50" s="1866">
        <v>26</v>
      </c>
      <c r="M50" s="1866">
        <v>104</v>
      </c>
      <c r="N50" s="1864">
        <v>43656</v>
      </c>
      <c r="Q50" s="507"/>
      <c r="R50" s="507"/>
      <c r="S50" s="507"/>
    </row>
    <row r="51" spans="1:29">
      <c r="A51" s="1871" t="s">
        <v>1745</v>
      </c>
      <c r="B51" s="1868" t="s">
        <v>1258</v>
      </c>
      <c r="C51" s="1867">
        <v>43636</v>
      </c>
      <c r="D51" s="1867">
        <v>43636</v>
      </c>
      <c r="E51" s="1863" t="s">
        <v>159</v>
      </c>
      <c r="F51" s="1863" t="s">
        <v>719</v>
      </c>
      <c r="G51" s="1869" t="s">
        <v>918</v>
      </c>
      <c r="H51" s="1865">
        <v>46</v>
      </c>
      <c r="I51" s="1870">
        <v>46</v>
      </c>
      <c r="J51" s="1865"/>
      <c r="K51" s="1863" t="s">
        <v>917</v>
      </c>
      <c r="L51" s="1866">
        <v>6</v>
      </c>
      <c r="M51" s="1866">
        <v>24</v>
      </c>
      <c r="N51" s="1864">
        <v>43656</v>
      </c>
      <c r="Q51" s="507"/>
      <c r="R51" s="507"/>
      <c r="S51" s="507"/>
    </row>
    <row r="52" spans="1:29">
      <c r="A52" s="1496" t="s">
        <v>1608</v>
      </c>
      <c r="B52" s="1501" t="s">
        <v>923</v>
      </c>
      <c r="C52" s="1500">
        <v>43626</v>
      </c>
      <c r="D52" s="1500">
        <v>43626</v>
      </c>
      <c r="E52" s="1507" t="s">
        <v>177</v>
      </c>
      <c r="F52" s="1496" t="s">
        <v>719</v>
      </c>
      <c r="G52" s="1502" t="s">
        <v>916</v>
      </c>
      <c r="H52" s="1498">
        <v>402</v>
      </c>
      <c r="I52" s="1503">
        <v>402</v>
      </c>
      <c r="J52" s="1498"/>
      <c r="K52" s="1496" t="s">
        <v>917</v>
      </c>
      <c r="L52" s="1499">
        <v>26</v>
      </c>
      <c r="M52" s="1499">
        <v>104</v>
      </c>
      <c r="N52" s="1497">
        <v>43636</v>
      </c>
      <c r="Q52" s="507"/>
      <c r="R52" s="507"/>
      <c r="S52" s="507"/>
    </row>
    <row r="53" spans="1:29">
      <c r="A53" s="1496" t="s">
        <v>1608</v>
      </c>
      <c r="B53" s="1501" t="s">
        <v>923</v>
      </c>
      <c r="C53" s="1500">
        <v>43626</v>
      </c>
      <c r="D53" s="1500">
        <v>43626</v>
      </c>
      <c r="E53" s="1496" t="s">
        <v>159</v>
      </c>
      <c r="F53" s="1496" t="s">
        <v>719</v>
      </c>
      <c r="G53" s="1502" t="s">
        <v>918</v>
      </c>
      <c r="H53" s="1498">
        <v>37</v>
      </c>
      <c r="I53" s="1503">
        <v>37</v>
      </c>
      <c r="J53" s="1498"/>
      <c r="K53" s="1496" t="s">
        <v>917</v>
      </c>
      <c r="L53" s="1499">
        <v>6</v>
      </c>
      <c r="M53" s="1499">
        <v>24</v>
      </c>
      <c r="N53" s="1497">
        <v>43636</v>
      </c>
      <c r="Q53" s="507"/>
      <c r="R53" s="507"/>
      <c r="S53" s="507"/>
    </row>
    <row r="54" spans="1:29">
      <c r="A54" s="1871" t="s">
        <v>1739</v>
      </c>
      <c r="B54" s="1868">
        <v>26</v>
      </c>
      <c r="C54" s="1867">
        <v>43636</v>
      </c>
      <c r="D54" s="1867">
        <v>43636</v>
      </c>
      <c r="E54" s="1872" t="s">
        <v>177</v>
      </c>
      <c r="F54" s="1863" t="s">
        <v>719</v>
      </c>
      <c r="G54" s="1869" t="s">
        <v>916</v>
      </c>
      <c r="H54" s="1865">
        <v>561</v>
      </c>
      <c r="I54" s="1870">
        <v>561</v>
      </c>
      <c r="J54" s="1863"/>
      <c r="K54" s="1873" t="s">
        <v>917</v>
      </c>
      <c r="L54" s="1866">
        <v>26</v>
      </c>
      <c r="M54" s="1866">
        <v>104</v>
      </c>
      <c r="N54" s="1864">
        <v>43656</v>
      </c>
      <c r="Q54" s="507"/>
      <c r="R54" s="507"/>
      <c r="S54" s="507"/>
    </row>
    <row r="55" spans="1:29">
      <c r="A55" s="1871" t="s">
        <v>1739</v>
      </c>
      <c r="B55" s="1868">
        <v>26</v>
      </c>
      <c r="C55" s="1867">
        <v>43636</v>
      </c>
      <c r="D55" s="1867">
        <v>43636</v>
      </c>
      <c r="E55" s="1863" t="s">
        <v>159</v>
      </c>
      <c r="F55" s="1863" t="s">
        <v>719</v>
      </c>
      <c r="G55" s="1869" t="s">
        <v>918</v>
      </c>
      <c r="H55" s="1865">
        <v>70</v>
      </c>
      <c r="I55" s="1870">
        <v>70</v>
      </c>
      <c r="J55" s="1863"/>
      <c r="K55" s="1863" t="s">
        <v>917</v>
      </c>
      <c r="L55" s="1866">
        <v>6</v>
      </c>
      <c r="M55" s="1866">
        <v>24</v>
      </c>
      <c r="N55" s="1864">
        <v>43656</v>
      </c>
      <c r="Q55" s="507"/>
      <c r="R55" s="507"/>
      <c r="S55" s="507"/>
    </row>
    <row r="56" spans="1:29">
      <c r="A56" s="1949" t="s">
        <v>1748</v>
      </c>
      <c r="B56" s="1946">
        <v>64</v>
      </c>
      <c r="C56" s="1945">
        <v>43636</v>
      </c>
      <c r="D56" s="1945">
        <v>43636</v>
      </c>
      <c r="E56" s="1951" t="s">
        <v>177</v>
      </c>
      <c r="F56" s="1941" t="s">
        <v>719</v>
      </c>
      <c r="G56" s="1947" t="s">
        <v>916</v>
      </c>
      <c r="H56" s="1943">
        <v>634</v>
      </c>
      <c r="I56" s="1948">
        <v>634</v>
      </c>
      <c r="J56" s="1941"/>
      <c r="K56" s="1952" t="s">
        <v>917</v>
      </c>
      <c r="L56" s="1944">
        <v>26</v>
      </c>
      <c r="M56" s="1944">
        <v>104</v>
      </c>
      <c r="N56" s="1942">
        <v>43656</v>
      </c>
      <c r="Q56" s="507"/>
      <c r="R56" s="507"/>
      <c r="S56" s="507"/>
    </row>
    <row r="57" spans="1:29">
      <c r="A57" s="1949" t="s">
        <v>1748</v>
      </c>
      <c r="B57" s="1946">
        <v>64</v>
      </c>
      <c r="C57" s="1945">
        <v>43636</v>
      </c>
      <c r="D57" s="1945">
        <v>43636</v>
      </c>
      <c r="E57" s="1941" t="s">
        <v>159</v>
      </c>
      <c r="F57" s="1941" t="s">
        <v>719</v>
      </c>
      <c r="G57" s="1947" t="s">
        <v>918</v>
      </c>
      <c r="H57" s="1943">
        <v>61</v>
      </c>
      <c r="I57" s="1948">
        <v>61</v>
      </c>
      <c r="J57" s="1943"/>
      <c r="K57" s="1941" t="s">
        <v>917</v>
      </c>
      <c r="L57" s="1944">
        <v>6</v>
      </c>
      <c r="M57" s="1944">
        <v>24</v>
      </c>
      <c r="N57" s="1942">
        <v>43656</v>
      </c>
      <c r="Q57" s="507"/>
      <c r="R57" s="507"/>
      <c r="S57" s="507"/>
    </row>
    <row r="58" spans="1:29">
      <c r="A58" s="1871" t="s">
        <v>1742</v>
      </c>
      <c r="B58" s="1868" t="s">
        <v>1257</v>
      </c>
      <c r="C58" s="1867">
        <v>43636</v>
      </c>
      <c r="D58" s="1867">
        <v>43636</v>
      </c>
      <c r="E58" s="1872" t="s">
        <v>177</v>
      </c>
      <c r="F58" s="1863" t="s">
        <v>719</v>
      </c>
      <c r="G58" s="1869" t="s">
        <v>916</v>
      </c>
      <c r="H58" s="1865">
        <v>1246</v>
      </c>
      <c r="I58" s="1870">
        <v>1246</v>
      </c>
      <c r="J58" s="1863"/>
      <c r="K58" s="1873" t="s">
        <v>917</v>
      </c>
      <c r="L58" s="1866">
        <v>26</v>
      </c>
      <c r="M58" s="1866">
        <v>104</v>
      </c>
      <c r="N58" s="1864">
        <v>43656</v>
      </c>
      <c r="Q58" s="507"/>
      <c r="R58" s="507"/>
      <c r="S58" s="507"/>
    </row>
    <row r="59" spans="1:29">
      <c r="A59" s="1871" t="s">
        <v>1742</v>
      </c>
      <c r="B59" s="1868" t="s">
        <v>1257</v>
      </c>
      <c r="C59" s="1867">
        <v>43636</v>
      </c>
      <c r="D59" s="1867">
        <v>43636</v>
      </c>
      <c r="E59" s="1863" t="s">
        <v>159</v>
      </c>
      <c r="F59" s="1863" t="s">
        <v>719</v>
      </c>
      <c r="G59" s="1869" t="s">
        <v>918</v>
      </c>
      <c r="H59" s="1865">
        <v>153</v>
      </c>
      <c r="I59" s="1870">
        <v>153</v>
      </c>
      <c r="J59" s="1865"/>
      <c r="K59" s="1863" t="s">
        <v>917</v>
      </c>
      <c r="L59" s="1866">
        <v>6</v>
      </c>
      <c r="M59" s="1866">
        <v>24</v>
      </c>
      <c r="N59" s="1864">
        <v>43656</v>
      </c>
      <c r="Q59" s="507"/>
      <c r="R59" s="507"/>
      <c r="S59" s="507"/>
    </row>
    <row r="60" spans="1:29">
      <c r="A60" s="1961" t="s">
        <v>1609</v>
      </c>
      <c r="B60" s="1965" t="s">
        <v>1224</v>
      </c>
      <c r="C60" s="1960">
        <v>43626</v>
      </c>
      <c r="D60" s="1960">
        <v>43626</v>
      </c>
      <c r="E60" s="1954" t="s">
        <v>177</v>
      </c>
      <c r="F60" s="1961" t="s">
        <v>719</v>
      </c>
      <c r="G60" s="1959" t="s">
        <v>916</v>
      </c>
      <c r="H60" s="1962">
        <v>803</v>
      </c>
      <c r="I60" s="1967">
        <v>803</v>
      </c>
      <c r="J60" s="1962"/>
      <c r="K60" s="1961" t="s">
        <v>917</v>
      </c>
      <c r="L60" s="1964">
        <v>26</v>
      </c>
      <c r="M60" s="1964">
        <v>104</v>
      </c>
      <c r="N60" s="1963">
        <v>43636</v>
      </c>
      <c r="P60" s="1496"/>
      <c r="Q60" s="1501"/>
      <c r="R60" s="1500"/>
      <c r="S60" s="1500"/>
      <c r="T60" s="1507"/>
      <c r="U60" s="1496"/>
      <c r="V60" s="1502"/>
      <c r="W60" s="1498"/>
      <c r="X60" s="1503"/>
      <c r="Y60" s="1498"/>
      <c r="Z60" s="1496"/>
      <c r="AA60" s="1499"/>
      <c r="AB60" s="1499"/>
      <c r="AC60" s="1497"/>
    </row>
    <row r="61" spans="1:29">
      <c r="A61" s="1961" t="s">
        <v>1609</v>
      </c>
      <c r="B61" s="1965" t="s">
        <v>1224</v>
      </c>
      <c r="C61" s="1960">
        <v>43626</v>
      </c>
      <c r="D61" s="1960">
        <v>43626</v>
      </c>
      <c r="E61" s="1961" t="s">
        <v>159</v>
      </c>
      <c r="F61" s="1961" t="s">
        <v>719</v>
      </c>
      <c r="G61" s="1959" t="s">
        <v>918</v>
      </c>
      <c r="H61" s="1962">
        <v>11</v>
      </c>
      <c r="I61" s="1967">
        <v>11</v>
      </c>
      <c r="J61" s="1962" t="s">
        <v>926</v>
      </c>
      <c r="K61" s="1961" t="s">
        <v>917</v>
      </c>
      <c r="L61" s="1964">
        <v>6</v>
      </c>
      <c r="M61" s="1964">
        <v>24</v>
      </c>
      <c r="N61" s="1963">
        <v>43636</v>
      </c>
      <c r="P61" s="1496"/>
      <c r="Q61" s="1501"/>
      <c r="R61" s="1500"/>
      <c r="S61" s="1500"/>
      <c r="T61" s="1496"/>
      <c r="U61" s="1496"/>
      <c r="V61" s="1502"/>
      <c r="W61" s="1498"/>
      <c r="X61" s="1503"/>
      <c r="Y61" s="1498"/>
      <c r="Z61" s="1496"/>
      <c r="AA61" s="1499"/>
      <c r="AB61" s="1499"/>
      <c r="AC61" s="1497"/>
    </row>
    <row r="62" spans="1:29">
      <c r="A62" s="1949" t="s">
        <v>1747</v>
      </c>
      <c r="B62" s="1946">
        <v>19</v>
      </c>
      <c r="C62" s="1945">
        <v>43636</v>
      </c>
      <c r="D62" s="1945">
        <v>43636</v>
      </c>
      <c r="E62" s="1951" t="s">
        <v>177</v>
      </c>
      <c r="F62" s="1941" t="s">
        <v>719</v>
      </c>
      <c r="G62" s="1947" t="s">
        <v>916</v>
      </c>
      <c r="H62" s="1943">
        <v>322</v>
      </c>
      <c r="I62" s="1948">
        <v>322</v>
      </c>
      <c r="J62" s="1941"/>
      <c r="K62" s="1952" t="s">
        <v>917</v>
      </c>
      <c r="L62" s="1944">
        <v>26</v>
      </c>
      <c r="M62" s="1944">
        <v>104</v>
      </c>
      <c r="N62" s="1942">
        <v>43656</v>
      </c>
      <c r="Q62" s="507"/>
      <c r="R62" s="507"/>
      <c r="S62" s="507"/>
    </row>
    <row r="63" spans="1:29">
      <c r="A63" s="1949" t="s">
        <v>1747</v>
      </c>
      <c r="B63" s="1946">
        <v>19</v>
      </c>
      <c r="C63" s="1945">
        <v>43636</v>
      </c>
      <c r="D63" s="1945">
        <v>43636</v>
      </c>
      <c r="E63" s="1941" t="s">
        <v>159</v>
      </c>
      <c r="F63" s="1941" t="s">
        <v>719</v>
      </c>
      <c r="G63" s="1947" t="s">
        <v>918</v>
      </c>
      <c r="H63" s="1943">
        <v>14</v>
      </c>
      <c r="I63" s="1948">
        <v>14</v>
      </c>
      <c r="J63" s="1943" t="s">
        <v>926</v>
      </c>
      <c r="K63" s="1941" t="s">
        <v>917</v>
      </c>
      <c r="L63" s="1944">
        <v>6</v>
      </c>
      <c r="M63" s="1944">
        <v>24</v>
      </c>
      <c r="N63" s="1942">
        <v>43656</v>
      </c>
      <c r="Q63" s="507"/>
      <c r="R63" s="507"/>
      <c r="S63" s="507"/>
    </row>
    <row r="64" spans="1:29">
      <c r="A64" s="1949" t="s">
        <v>1746</v>
      </c>
      <c r="B64" s="1946">
        <v>18</v>
      </c>
      <c r="C64" s="1945">
        <v>43636</v>
      </c>
      <c r="D64" s="1945">
        <v>43636</v>
      </c>
      <c r="E64" s="1951" t="s">
        <v>177</v>
      </c>
      <c r="F64" s="1941" t="s">
        <v>719</v>
      </c>
      <c r="G64" s="1947" t="s">
        <v>916</v>
      </c>
      <c r="H64" s="1943">
        <v>524</v>
      </c>
      <c r="I64" s="1948">
        <v>524</v>
      </c>
      <c r="J64" s="1941"/>
      <c r="K64" s="1952" t="s">
        <v>917</v>
      </c>
      <c r="L64" s="1944">
        <v>26</v>
      </c>
      <c r="M64" s="1944">
        <v>104</v>
      </c>
      <c r="N64" s="1942">
        <v>43656</v>
      </c>
      <c r="Q64" s="507"/>
      <c r="R64" s="507"/>
      <c r="S64" s="507"/>
    </row>
    <row r="65" spans="1:32">
      <c r="A65" s="1949" t="s">
        <v>1746</v>
      </c>
      <c r="B65" s="1946">
        <v>18</v>
      </c>
      <c r="C65" s="1945">
        <v>43636</v>
      </c>
      <c r="D65" s="1945">
        <v>43636</v>
      </c>
      <c r="E65" s="1941" t="s">
        <v>159</v>
      </c>
      <c r="F65" s="1941" t="s">
        <v>719</v>
      </c>
      <c r="G65" s="1947" t="s">
        <v>918</v>
      </c>
      <c r="H65" s="1943">
        <v>26</v>
      </c>
      <c r="I65" s="1948">
        <v>26</v>
      </c>
      <c r="J65" s="1943"/>
      <c r="K65" s="1941" t="s">
        <v>917</v>
      </c>
      <c r="L65" s="1944">
        <v>6</v>
      </c>
      <c r="M65" s="1944">
        <v>24</v>
      </c>
      <c r="N65" s="1942">
        <v>43656</v>
      </c>
      <c r="Q65" s="507"/>
      <c r="R65" s="507"/>
      <c r="S65" s="507"/>
    </row>
    <row r="66" spans="1:32">
      <c r="A66" s="1941" t="s">
        <v>1752</v>
      </c>
      <c r="B66" s="1946">
        <v>58</v>
      </c>
      <c r="C66" s="1945">
        <v>43655</v>
      </c>
      <c r="D66" s="1945">
        <v>43655</v>
      </c>
      <c r="E66" s="1951" t="s">
        <v>177</v>
      </c>
      <c r="F66" s="1941" t="s">
        <v>719</v>
      </c>
      <c r="G66" s="1947" t="s">
        <v>916</v>
      </c>
      <c r="H66" s="1943">
        <v>208</v>
      </c>
      <c r="I66" s="1948">
        <v>208</v>
      </c>
      <c r="J66" s="1941"/>
      <c r="K66" s="1952" t="s">
        <v>917</v>
      </c>
      <c r="L66" s="1944">
        <v>26</v>
      </c>
      <c r="M66" s="1944">
        <v>104</v>
      </c>
      <c r="N66" s="1942">
        <v>43671</v>
      </c>
      <c r="Q66" s="507"/>
      <c r="R66" s="507"/>
      <c r="S66" s="507"/>
    </row>
    <row r="67" spans="1:32">
      <c r="A67" s="1949" t="s">
        <v>1752</v>
      </c>
      <c r="B67" s="1946">
        <v>58</v>
      </c>
      <c r="C67" s="1945">
        <v>43655</v>
      </c>
      <c r="D67" s="1945">
        <v>43655</v>
      </c>
      <c r="E67" s="1941" t="s">
        <v>159</v>
      </c>
      <c r="F67" s="1941" t="s">
        <v>719</v>
      </c>
      <c r="G67" s="1947" t="s">
        <v>918</v>
      </c>
      <c r="H67" s="1943">
        <v>7</v>
      </c>
      <c r="I67" s="1948">
        <v>7</v>
      </c>
      <c r="J67" s="1943" t="s">
        <v>926</v>
      </c>
      <c r="K67" s="1941" t="s">
        <v>917</v>
      </c>
      <c r="L67" s="1944">
        <v>6</v>
      </c>
      <c r="M67" s="1944">
        <v>24</v>
      </c>
      <c r="N67" s="1942">
        <v>43671</v>
      </c>
      <c r="Q67" s="507"/>
      <c r="R67" s="507"/>
      <c r="S67" s="507"/>
    </row>
    <row r="68" spans="1:32">
      <c r="A68" s="1941" t="s">
        <v>1753</v>
      </c>
      <c r="B68" s="1946" t="s">
        <v>1254</v>
      </c>
      <c r="C68" s="1945">
        <v>43655</v>
      </c>
      <c r="D68" s="1945">
        <v>43655</v>
      </c>
      <c r="E68" s="1951" t="s">
        <v>177</v>
      </c>
      <c r="F68" s="1941" t="s">
        <v>719</v>
      </c>
      <c r="G68" s="1947" t="s">
        <v>916</v>
      </c>
      <c r="H68" s="1943">
        <v>181</v>
      </c>
      <c r="I68" s="1948">
        <v>181</v>
      </c>
      <c r="J68" s="1941"/>
      <c r="K68" s="1952" t="s">
        <v>917</v>
      </c>
      <c r="L68" s="1944">
        <v>26</v>
      </c>
      <c r="M68" s="1944">
        <v>104</v>
      </c>
      <c r="N68" s="1942">
        <v>43671</v>
      </c>
      <c r="Q68" s="507"/>
      <c r="R68" s="507"/>
      <c r="S68" s="507"/>
    </row>
    <row r="69" spans="1:32">
      <c r="A69" s="1941" t="s">
        <v>1753</v>
      </c>
      <c r="B69" s="1946" t="s">
        <v>1254</v>
      </c>
      <c r="C69" s="1945">
        <v>43655</v>
      </c>
      <c r="D69" s="1945">
        <v>43655</v>
      </c>
      <c r="E69" s="1941" t="s">
        <v>159</v>
      </c>
      <c r="F69" s="1941" t="s">
        <v>719</v>
      </c>
      <c r="G69" s="1947" t="s">
        <v>918</v>
      </c>
      <c r="H69" s="1943">
        <v>10</v>
      </c>
      <c r="I69" s="1948">
        <v>10</v>
      </c>
      <c r="J69" s="1943" t="s">
        <v>926</v>
      </c>
      <c r="K69" s="1941" t="s">
        <v>917</v>
      </c>
      <c r="L69" s="1944">
        <v>6</v>
      </c>
      <c r="M69" s="1944">
        <v>24</v>
      </c>
      <c r="N69" s="1942">
        <v>43671</v>
      </c>
      <c r="Q69" s="507"/>
      <c r="R69" s="507"/>
      <c r="S69" s="507"/>
    </row>
    <row r="70" spans="1:32">
      <c r="A70" s="1941" t="s">
        <v>1754</v>
      </c>
      <c r="B70" s="1946" t="s">
        <v>1255</v>
      </c>
      <c r="C70" s="1945">
        <v>43655</v>
      </c>
      <c r="D70" s="1945">
        <v>43655</v>
      </c>
      <c r="E70" s="1951" t="s">
        <v>177</v>
      </c>
      <c r="F70" s="1941" t="s">
        <v>719</v>
      </c>
      <c r="G70" s="1947" t="s">
        <v>916</v>
      </c>
      <c r="H70" s="1943">
        <v>194</v>
      </c>
      <c r="I70" s="1948">
        <v>194</v>
      </c>
      <c r="J70" s="1941"/>
      <c r="K70" s="1952" t="s">
        <v>917</v>
      </c>
      <c r="L70" s="1944">
        <v>26</v>
      </c>
      <c r="M70" s="1944">
        <v>104</v>
      </c>
      <c r="N70" s="1942">
        <v>43671</v>
      </c>
      <c r="Q70" s="507"/>
      <c r="R70" s="507"/>
      <c r="S70" s="507"/>
    </row>
    <row r="71" spans="1:32">
      <c r="A71" s="1941" t="s">
        <v>1754</v>
      </c>
      <c r="B71" s="1946" t="s">
        <v>1255</v>
      </c>
      <c r="C71" s="1945">
        <v>43655</v>
      </c>
      <c r="D71" s="1945">
        <v>43655</v>
      </c>
      <c r="E71" s="1941" t="s">
        <v>159</v>
      </c>
      <c r="F71" s="1941" t="s">
        <v>719</v>
      </c>
      <c r="G71" s="1947" t="s">
        <v>918</v>
      </c>
      <c r="H71" s="1943">
        <v>14</v>
      </c>
      <c r="I71" s="1948">
        <v>14</v>
      </c>
      <c r="J71" s="1943" t="s">
        <v>926</v>
      </c>
      <c r="K71" s="1941" t="s">
        <v>917</v>
      </c>
      <c r="L71" s="1944">
        <v>6</v>
      </c>
      <c r="M71" s="1944">
        <v>24</v>
      </c>
      <c r="N71" s="1942">
        <v>43671</v>
      </c>
      <c r="Q71" s="507"/>
      <c r="R71" s="507"/>
      <c r="S71" s="507"/>
    </row>
    <row r="72" spans="1:32">
      <c r="A72" s="1949" t="s">
        <v>1751</v>
      </c>
      <c r="B72" s="1946">
        <v>25</v>
      </c>
      <c r="C72" s="1945">
        <v>43655</v>
      </c>
      <c r="D72" s="1945">
        <v>43655</v>
      </c>
      <c r="E72" s="1951" t="s">
        <v>177</v>
      </c>
      <c r="F72" s="1941" t="s">
        <v>719</v>
      </c>
      <c r="G72" s="1947" t="s">
        <v>916</v>
      </c>
      <c r="H72" s="1943">
        <v>116</v>
      </c>
      <c r="I72" s="1948">
        <v>116</v>
      </c>
      <c r="J72" s="1941"/>
      <c r="K72" s="1952" t="s">
        <v>917</v>
      </c>
      <c r="L72" s="1944">
        <v>26</v>
      </c>
      <c r="M72" s="1944">
        <v>104</v>
      </c>
      <c r="N72" s="1942">
        <v>43671</v>
      </c>
      <c r="Q72" s="507"/>
      <c r="R72" s="507"/>
      <c r="S72" s="507"/>
    </row>
    <row r="73" spans="1:32">
      <c r="A73" s="1940" t="s">
        <v>1751</v>
      </c>
      <c r="B73" s="1946">
        <v>25</v>
      </c>
      <c r="C73" s="1945">
        <v>43655</v>
      </c>
      <c r="D73" s="1945">
        <v>43655</v>
      </c>
      <c r="E73" s="1941" t="s">
        <v>159</v>
      </c>
      <c r="F73" s="1941" t="s">
        <v>719</v>
      </c>
      <c r="G73" s="1947" t="s">
        <v>918</v>
      </c>
      <c r="H73" s="1943">
        <v>8</v>
      </c>
      <c r="I73" s="1948">
        <v>8</v>
      </c>
      <c r="J73" s="1943" t="s">
        <v>926</v>
      </c>
      <c r="K73" s="1941" t="s">
        <v>917</v>
      </c>
      <c r="L73" s="1944">
        <v>6</v>
      </c>
      <c r="M73" s="1944">
        <v>24</v>
      </c>
      <c r="N73" s="1942">
        <v>43671</v>
      </c>
      <c r="Q73" s="507"/>
      <c r="R73" s="507"/>
      <c r="S73" s="507"/>
    </row>
    <row r="74" spans="1:32">
      <c r="A74" s="1940" t="s">
        <v>1756</v>
      </c>
      <c r="B74" s="1946">
        <v>5</v>
      </c>
      <c r="C74" s="1945">
        <v>43655</v>
      </c>
      <c r="D74" s="1945">
        <v>43655</v>
      </c>
      <c r="E74" s="1951" t="s">
        <v>177</v>
      </c>
      <c r="F74" s="1941" t="s">
        <v>719</v>
      </c>
      <c r="G74" s="1947" t="s">
        <v>916</v>
      </c>
      <c r="H74" s="1943">
        <v>226</v>
      </c>
      <c r="I74" s="1948">
        <v>226</v>
      </c>
      <c r="J74" s="1941"/>
      <c r="K74" s="1952" t="s">
        <v>917</v>
      </c>
      <c r="L74" s="1944">
        <v>26</v>
      </c>
      <c r="M74" s="1944">
        <v>104</v>
      </c>
      <c r="N74" s="1942">
        <v>43671</v>
      </c>
    </row>
    <row r="75" spans="1:32">
      <c r="A75" s="1941" t="s">
        <v>1756</v>
      </c>
      <c r="B75" s="1946">
        <v>5</v>
      </c>
      <c r="C75" s="1945">
        <v>43655</v>
      </c>
      <c r="D75" s="1945">
        <v>43655</v>
      </c>
      <c r="E75" s="1941" t="s">
        <v>159</v>
      </c>
      <c r="F75" s="1941" t="s">
        <v>719</v>
      </c>
      <c r="G75" s="1947" t="s">
        <v>918</v>
      </c>
      <c r="H75" s="1943">
        <v>13</v>
      </c>
      <c r="I75" s="1948">
        <v>13</v>
      </c>
      <c r="J75" s="1943" t="s">
        <v>926</v>
      </c>
      <c r="K75" s="1941" t="s">
        <v>917</v>
      </c>
      <c r="L75" s="1944">
        <v>6</v>
      </c>
      <c r="M75" s="1944">
        <v>24</v>
      </c>
      <c r="N75" s="1942">
        <v>43671</v>
      </c>
      <c r="Q75" s="507"/>
      <c r="R75" s="507"/>
      <c r="S75" s="507"/>
    </row>
    <row r="76" spans="1:32">
      <c r="A76" s="1941" t="s">
        <v>1757</v>
      </c>
      <c r="B76" s="1946" t="s">
        <v>1256</v>
      </c>
      <c r="C76" s="1945">
        <v>43655</v>
      </c>
      <c r="D76" s="1945">
        <v>43655</v>
      </c>
      <c r="E76" s="1951" t="s">
        <v>177</v>
      </c>
      <c r="F76" s="1941" t="s">
        <v>719</v>
      </c>
      <c r="G76" s="1947" t="s">
        <v>916</v>
      </c>
      <c r="H76" s="1943">
        <v>272</v>
      </c>
      <c r="I76" s="1948">
        <v>272</v>
      </c>
      <c r="J76" s="1941"/>
      <c r="K76" s="1952" t="s">
        <v>917</v>
      </c>
      <c r="L76" s="1944">
        <v>26</v>
      </c>
      <c r="M76" s="1944">
        <v>104</v>
      </c>
      <c r="N76" s="1942">
        <v>43671</v>
      </c>
      <c r="Q76" s="507"/>
      <c r="R76" s="507"/>
      <c r="S76" s="507"/>
    </row>
    <row r="77" spans="1:32">
      <c r="A77" s="1941" t="s">
        <v>1757</v>
      </c>
      <c r="B77" s="1946" t="s">
        <v>1256</v>
      </c>
      <c r="C77" s="1945">
        <v>43655</v>
      </c>
      <c r="D77" s="1945">
        <v>43655</v>
      </c>
      <c r="E77" s="1941" t="s">
        <v>159</v>
      </c>
      <c r="F77" s="1941" t="s">
        <v>719</v>
      </c>
      <c r="G77" s="1947" t="s">
        <v>918</v>
      </c>
      <c r="H77" s="1943">
        <v>18</v>
      </c>
      <c r="I77" s="1948">
        <v>18</v>
      </c>
      <c r="J77" s="1943" t="s">
        <v>926</v>
      </c>
      <c r="K77" s="1941" t="s">
        <v>917</v>
      </c>
      <c r="L77" s="1944">
        <v>6</v>
      </c>
      <c r="M77" s="1944">
        <v>24</v>
      </c>
      <c r="N77" s="1942">
        <v>43671</v>
      </c>
      <c r="Q77" s="507"/>
      <c r="R77" s="507"/>
      <c r="S77" s="507"/>
    </row>
    <row r="78" spans="1:32">
      <c r="A78" s="1940" t="s">
        <v>1759</v>
      </c>
      <c r="B78" s="1946">
        <v>9</v>
      </c>
      <c r="C78" s="1945">
        <v>43655</v>
      </c>
      <c r="D78" s="1945">
        <v>43655</v>
      </c>
      <c r="E78" s="1951" t="s">
        <v>177</v>
      </c>
      <c r="F78" s="1941" t="s">
        <v>719</v>
      </c>
      <c r="G78" s="1947" t="s">
        <v>916</v>
      </c>
      <c r="H78" s="1943">
        <v>288</v>
      </c>
      <c r="I78" s="1948">
        <v>288</v>
      </c>
      <c r="J78" s="1941"/>
      <c r="K78" s="1952" t="s">
        <v>917</v>
      </c>
      <c r="L78" s="1944">
        <v>26</v>
      </c>
      <c r="M78" s="1944">
        <v>104</v>
      </c>
      <c r="N78" s="1942">
        <v>43671</v>
      </c>
      <c r="Q78" s="507"/>
      <c r="R78" s="507"/>
      <c r="S78" s="507"/>
    </row>
    <row r="79" spans="1:32">
      <c r="A79" s="1940" t="s">
        <v>1759</v>
      </c>
      <c r="B79" s="1946">
        <v>9</v>
      </c>
      <c r="C79" s="1945">
        <v>43655</v>
      </c>
      <c r="D79" s="1945">
        <v>43655</v>
      </c>
      <c r="E79" s="1941" t="s">
        <v>159</v>
      </c>
      <c r="F79" s="1941" t="s">
        <v>719</v>
      </c>
      <c r="G79" s="1947" t="s">
        <v>918</v>
      </c>
      <c r="H79" s="1943">
        <v>34</v>
      </c>
      <c r="I79" s="1948">
        <v>34</v>
      </c>
      <c r="J79" s="1943"/>
      <c r="K79" s="1941" t="s">
        <v>917</v>
      </c>
      <c r="L79" s="1944">
        <v>6</v>
      </c>
      <c r="M79" s="1944">
        <v>24</v>
      </c>
      <c r="N79" s="1942">
        <v>43671</v>
      </c>
      <c r="Q79" s="507"/>
      <c r="R79" s="507"/>
      <c r="S79" s="507"/>
    </row>
    <row r="80" spans="1:32">
      <c r="A80" s="1940" t="s">
        <v>1760</v>
      </c>
      <c r="B80" s="1946">
        <v>12</v>
      </c>
      <c r="C80" s="1945">
        <v>43655</v>
      </c>
      <c r="D80" s="1945">
        <v>43655</v>
      </c>
      <c r="E80" s="1951" t="s">
        <v>177</v>
      </c>
      <c r="F80" s="1941" t="s">
        <v>719</v>
      </c>
      <c r="G80" s="1947" t="s">
        <v>916</v>
      </c>
      <c r="H80" s="1943">
        <v>352</v>
      </c>
      <c r="I80" s="1948">
        <v>352</v>
      </c>
      <c r="J80" s="1941"/>
      <c r="K80" s="1952" t="s">
        <v>917</v>
      </c>
      <c r="L80" s="1944">
        <v>26</v>
      </c>
      <c r="M80" s="1944">
        <v>104</v>
      </c>
      <c r="N80" s="1942">
        <v>43671</v>
      </c>
      <c r="Q80" s="507"/>
      <c r="R80" s="507"/>
      <c r="S80" s="507"/>
      <c r="T80" s="1995"/>
      <c r="AA80" s="174"/>
      <c r="AB80" s="174"/>
      <c r="AC80" s="174"/>
      <c r="AD80" s="174"/>
      <c r="AE80" s="175"/>
      <c r="AF80" s="175"/>
    </row>
    <row r="81" spans="1:32">
      <c r="A81" s="1874" t="s">
        <v>1760</v>
      </c>
      <c r="B81" s="1880">
        <v>12</v>
      </c>
      <c r="C81" s="1879">
        <v>43655</v>
      </c>
      <c r="D81" s="1879">
        <v>43655</v>
      </c>
      <c r="E81" s="1875" t="s">
        <v>159</v>
      </c>
      <c r="F81" s="1875" t="s">
        <v>719</v>
      </c>
      <c r="G81" s="1881" t="s">
        <v>918</v>
      </c>
      <c r="H81" s="1877">
        <v>55</v>
      </c>
      <c r="I81" s="1882">
        <v>55</v>
      </c>
      <c r="J81" s="1877"/>
      <c r="K81" s="1875" t="s">
        <v>917</v>
      </c>
      <c r="L81" s="1878">
        <v>6</v>
      </c>
      <c r="M81" s="1878">
        <v>24</v>
      </c>
      <c r="N81" s="1876">
        <v>43671</v>
      </c>
      <c r="Q81" s="507"/>
      <c r="R81" s="507"/>
      <c r="S81" s="507"/>
      <c r="T81" s="1995"/>
      <c r="AA81" s="174"/>
      <c r="AB81" s="174"/>
      <c r="AC81" s="174"/>
      <c r="AD81" s="174"/>
      <c r="AE81" s="175"/>
      <c r="AF81" s="175"/>
    </row>
    <row r="82" spans="1:32">
      <c r="A82" s="1874" t="s">
        <v>1761</v>
      </c>
      <c r="B82" s="1880" t="s">
        <v>1258</v>
      </c>
      <c r="C82" s="1879">
        <v>43655</v>
      </c>
      <c r="D82" s="1879">
        <v>43655</v>
      </c>
      <c r="E82" s="1885" t="s">
        <v>177</v>
      </c>
      <c r="F82" s="1875" t="s">
        <v>719</v>
      </c>
      <c r="G82" s="1881" t="s">
        <v>916</v>
      </c>
      <c r="H82" s="1877">
        <v>307</v>
      </c>
      <c r="I82" s="1882">
        <v>307</v>
      </c>
      <c r="J82" s="1875"/>
      <c r="K82" s="1886" t="s">
        <v>917</v>
      </c>
      <c r="L82" s="1878">
        <v>26</v>
      </c>
      <c r="M82" s="1878">
        <v>104</v>
      </c>
      <c r="N82" s="1876">
        <v>43671</v>
      </c>
      <c r="Q82" s="507"/>
      <c r="R82" s="507"/>
      <c r="S82" s="507"/>
      <c r="T82" s="1995"/>
      <c r="AA82" s="174"/>
      <c r="AB82" s="174"/>
      <c r="AC82" s="174"/>
      <c r="AD82" s="174"/>
      <c r="AE82" s="175"/>
      <c r="AF82" s="175"/>
    </row>
    <row r="83" spans="1:32">
      <c r="A83" s="1874" t="s">
        <v>1761</v>
      </c>
      <c r="B83" s="1880" t="s">
        <v>1258</v>
      </c>
      <c r="C83" s="1879">
        <v>43655</v>
      </c>
      <c r="D83" s="1879">
        <v>43655</v>
      </c>
      <c r="E83" s="1875" t="s">
        <v>159</v>
      </c>
      <c r="F83" s="1875" t="s">
        <v>719</v>
      </c>
      <c r="G83" s="1881" t="s">
        <v>918</v>
      </c>
      <c r="H83" s="1877">
        <v>26</v>
      </c>
      <c r="I83" s="1882">
        <v>26</v>
      </c>
      <c r="J83" s="1877"/>
      <c r="K83" s="1875" t="s">
        <v>917</v>
      </c>
      <c r="L83" s="1878">
        <v>6</v>
      </c>
      <c r="M83" s="1878">
        <v>24</v>
      </c>
      <c r="N83" s="1876">
        <v>43671</v>
      </c>
      <c r="Q83" s="507"/>
      <c r="R83" s="507"/>
      <c r="S83" s="507"/>
      <c r="T83" s="1995"/>
      <c r="AA83" s="174"/>
      <c r="AB83" s="174"/>
      <c r="AC83" s="174"/>
      <c r="AD83" s="174"/>
      <c r="AE83" s="175"/>
      <c r="AF83" s="175"/>
    </row>
    <row r="84" spans="1:32">
      <c r="A84" s="1874" t="s">
        <v>1764</v>
      </c>
      <c r="B84" s="1880" t="s">
        <v>923</v>
      </c>
      <c r="C84" s="1879">
        <v>43655</v>
      </c>
      <c r="D84" s="1879">
        <v>43655</v>
      </c>
      <c r="E84" s="1885" t="s">
        <v>177</v>
      </c>
      <c r="F84" s="1875" t="s">
        <v>719</v>
      </c>
      <c r="G84" s="1881" t="s">
        <v>916</v>
      </c>
      <c r="H84" s="1877">
        <v>276</v>
      </c>
      <c r="I84" s="1882">
        <v>276</v>
      </c>
      <c r="J84" s="1875"/>
      <c r="K84" s="1886" t="s">
        <v>917</v>
      </c>
      <c r="L84" s="1878">
        <v>26</v>
      </c>
      <c r="M84" s="1878">
        <v>104</v>
      </c>
      <c r="N84" s="1876">
        <v>43671</v>
      </c>
      <c r="Q84" s="507"/>
      <c r="R84" s="507"/>
      <c r="S84" s="507"/>
      <c r="T84" s="1995"/>
      <c r="AA84" s="174"/>
      <c r="AB84" s="174"/>
      <c r="AC84" s="174"/>
      <c r="AD84" s="174"/>
      <c r="AE84" s="175"/>
      <c r="AF84" s="175"/>
    </row>
    <row r="85" spans="1:32">
      <c r="A85" s="1874" t="s">
        <v>1764</v>
      </c>
      <c r="B85" s="1880" t="s">
        <v>923</v>
      </c>
      <c r="C85" s="1879">
        <v>43655</v>
      </c>
      <c r="D85" s="1879">
        <v>43655</v>
      </c>
      <c r="E85" s="1875" t="s">
        <v>159</v>
      </c>
      <c r="F85" s="1875" t="s">
        <v>719</v>
      </c>
      <c r="G85" s="1881" t="s">
        <v>918</v>
      </c>
      <c r="H85" s="1877">
        <v>24</v>
      </c>
      <c r="I85" s="1882">
        <v>24</v>
      </c>
      <c r="J85" s="1877" t="s">
        <v>926</v>
      </c>
      <c r="K85" s="1875" t="s">
        <v>917</v>
      </c>
      <c r="L85" s="1878">
        <v>6</v>
      </c>
      <c r="M85" s="1878">
        <v>24</v>
      </c>
      <c r="N85" s="1876">
        <v>43671</v>
      </c>
      <c r="Q85" s="507"/>
      <c r="R85" s="507"/>
      <c r="S85" s="507"/>
      <c r="T85" s="1995"/>
      <c r="AA85" s="174"/>
      <c r="AB85" s="174"/>
      <c r="AC85" s="174"/>
      <c r="AD85" s="174"/>
      <c r="AE85" s="175"/>
      <c r="AF85" s="175"/>
    </row>
    <row r="86" spans="1:32">
      <c r="A86" s="1949" t="s">
        <v>1755</v>
      </c>
      <c r="B86" s="1950">
        <v>26</v>
      </c>
      <c r="C86" s="1945">
        <v>43655</v>
      </c>
      <c r="D86" s="1945">
        <v>43655</v>
      </c>
      <c r="E86" s="1951" t="s">
        <v>177</v>
      </c>
      <c r="F86" s="1941" t="s">
        <v>719</v>
      </c>
      <c r="G86" s="1947" t="s">
        <v>916</v>
      </c>
      <c r="H86" s="1943">
        <v>424</v>
      </c>
      <c r="I86" s="1948">
        <v>424</v>
      </c>
      <c r="J86" s="1941"/>
      <c r="K86" s="1952" t="s">
        <v>917</v>
      </c>
      <c r="L86" s="1944">
        <v>26</v>
      </c>
      <c r="M86" s="1944">
        <v>104</v>
      </c>
      <c r="N86" s="1942">
        <v>43671</v>
      </c>
      <c r="Q86" s="507"/>
      <c r="R86" s="507"/>
      <c r="S86" s="507"/>
      <c r="T86" s="1995"/>
      <c r="AA86" s="174"/>
      <c r="AB86" s="174"/>
      <c r="AC86" s="174"/>
      <c r="AD86" s="174"/>
      <c r="AE86" s="175"/>
      <c r="AF86" s="175"/>
    </row>
    <row r="87" spans="1:32">
      <c r="A87" s="1949" t="s">
        <v>1755</v>
      </c>
      <c r="B87" s="1950">
        <v>26</v>
      </c>
      <c r="C87" s="1945">
        <v>43655</v>
      </c>
      <c r="D87" s="1945">
        <v>43655</v>
      </c>
      <c r="E87" s="1941" t="s">
        <v>159</v>
      </c>
      <c r="F87" s="1941" t="s">
        <v>719</v>
      </c>
      <c r="G87" s="1947" t="s">
        <v>918</v>
      </c>
      <c r="H87" s="1943">
        <v>29</v>
      </c>
      <c r="I87" s="1948">
        <v>29</v>
      </c>
      <c r="J87" s="1943"/>
      <c r="K87" s="1941" t="s">
        <v>917</v>
      </c>
      <c r="L87" s="1944">
        <v>6</v>
      </c>
      <c r="M87" s="1944">
        <v>24</v>
      </c>
      <c r="N87" s="1942">
        <v>43671</v>
      </c>
      <c r="Q87" s="507"/>
      <c r="R87" s="507"/>
      <c r="S87" s="507"/>
      <c r="T87" s="1995"/>
      <c r="AA87" s="174"/>
      <c r="AB87" s="174"/>
      <c r="AC87" s="174"/>
      <c r="AD87" s="174"/>
      <c r="AE87" s="175"/>
      <c r="AF87" s="175"/>
    </row>
    <row r="88" spans="1:32">
      <c r="A88" s="1940" t="s">
        <v>1750</v>
      </c>
      <c r="B88" s="1946">
        <v>64</v>
      </c>
      <c r="C88" s="1945">
        <v>43655</v>
      </c>
      <c r="D88" s="1945">
        <v>43655</v>
      </c>
      <c r="E88" s="1951" t="s">
        <v>177</v>
      </c>
      <c r="F88" s="1941" t="s">
        <v>719</v>
      </c>
      <c r="G88" s="1947" t="s">
        <v>916</v>
      </c>
      <c r="H88" s="1943">
        <v>478</v>
      </c>
      <c r="I88" s="1948">
        <v>478</v>
      </c>
      <c r="J88" s="1941"/>
      <c r="K88" s="1952" t="s">
        <v>917</v>
      </c>
      <c r="L88" s="1944">
        <v>26</v>
      </c>
      <c r="M88" s="1944">
        <v>104</v>
      </c>
      <c r="N88" s="1942">
        <v>43671</v>
      </c>
      <c r="Q88" s="507"/>
      <c r="R88" s="507"/>
      <c r="S88" s="507"/>
      <c r="T88" s="1995"/>
      <c r="AA88" s="174"/>
      <c r="AB88" s="174"/>
      <c r="AC88" s="174"/>
      <c r="AD88" s="174"/>
      <c r="AE88" s="175"/>
      <c r="AF88" s="175"/>
    </row>
    <row r="89" spans="1:32">
      <c r="A89" s="1940" t="s">
        <v>1750</v>
      </c>
      <c r="B89" s="1946">
        <v>64</v>
      </c>
      <c r="C89" s="1945">
        <v>43655</v>
      </c>
      <c r="D89" s="1945">
        <v>43655</v>
      </c>
      <c r="E89" s="1941" t="s">
        <v>159</v>
      </c>
      <c r="F89" s="1941" t="s">
        <v>719</v>
      </c>
      <c r="G89" s="1947" t="s">
        <v>918</v>
      </c>
      <c r="H89" s="1943">
        <v>37</v>
      </c>
      <c r="I89" s="1948">
        <v>37</v>
      </c>
      <c r="J89" s="1943"/>
      <c r="K89" s="1941" t="s">
        <v>917</v>
      </c>
      <c r="L89" s="1944">
        <v>6</v>
      </c>
      <c r="M89" s="1944">
        <v>24</v>
      </c>
      <c r="N89" s="1942">
        <v>43671</v>
      </c>
      <c r="Q89" s="507"/>
      <c r="R89" s="507"/>
      <c r="S89" s="507"/>
    </row>
    <row r="90" spans="1:32">
      <c r="A90" s="1940" t="s">
        <v>1758</v>
      </c>
      <c r="B90" s="1946" t="s">
        <v>1257</v>
      </c>
      <c r="C90" s="1945">
        <v>43655</v>
      </c>
      <c r="D90" s="1945">
        <v>43655</v>
      </c>
      <c r="E90" s="1951" t="s">
        <v>177</v>
      </c>
      <c r="F90" s="1941" t="s">
        <v>719</v>
      </c>
      <c r="G90" s="1947" t="s">
        <v>916</v>
      </c>
      <c r="H90" s="1943">
        <v>911</v>
      </c>
      <c r="I90" s="1948">
        <v>911</v>
      </c>
      <c r="J90" s="1941"/>
      <c r="K90" s="1952" t="s">
        <v>917</v>
      </c>
      <c r="L90" s="1944">
        <v>26</v>
      </c>
      <c r="M90" s="1944">
        <v>104</v>
      </c>
      <c r="N90" s="1942">
        <v>43671</v>
      </c>
      <c r="Q90" s="507"/>
      <c r="R90" s="507"/>
      <c r="S90" s="507"/>
    </row>
    <row r="91" spans="1:32">
      <c r="A91" s="1940" t="s">
        <v>1758</v>
      </c>
      <c r="B91" s="1946" t="s">
        <v>1257</v>
      </c>
      <c r="C91" s="1945">
        <v>43655</v>
      </c>
      <c r="D91" s="1945">
        <v>43655</v>
      </c>
      <c r="E91" s="1941" t="s">
        <v>159</v>
      </c>
      <c r="F91" s="1941" t="s">
        <v>719</v>
      </c>
      <c r="G91" s="1947" t="s">
        <v>918</v>
      </c>
      <c r="H91" s="1943">
        <v>147</v>
      </c>
      <c r="I91" s="1948">
        <v>147</v>
      </c>
      <c r="J91" s="1943"/>
      <c r="K91" s="1941" t="s">
        <v>917</v>
      </c>
      <c r="L91" s="1944">
        <v>6</v>
      </c>
      <c r="M91" s="1944">
        <v>24</v>
      </c>
      <c r="N91" s="1942">
        <v>43671</v>
      </c>
      <c r="Q91" s="507"/>
      <c r="R91" s="507"/>
      <c r="S91" s="507"/>
    </row>
    <row r="92" spans="1:32">
      <c r="A92" s="1874" t="s">
        <v>1763</v>
      </c>
      <c r="B92" s="1880">
        <v>19</v>
      </c>
      <c r="C92" s="1879">
        <v>43655</v>
      </c>
      <c r="D92" s="1879">
        <v>43655</v>
      </c>
      <c r="E92" s="1885" t="s">
        <v>177</v>
      </c>
      <c r="F92" s="1875" t="s">
        <v>719</v>
      </c>
      <c r="G92" s="1881" t="s">
        <v>916</v>
      </c>
      <c r="H92" s="1877">
        <v>276</v>
      </c>
      <c r="I92" s="1882">
        <v>276</v>
      </c>
      <c r="J92" s="1875"/>
      <c r="K92" s="1886" t="s">
        <v>917</v>
      </c>
      <c r="L92" s="1878">
        <v>26</v>
      </c>
      <c r="M92" s="1878">
        <v>104</v>
      </c>
      <c r="N92" s="1876">
        <v>43671</v>
      </c>
      <c r="Q92" s="507"/>
      <c r="R92" s="507"/>
      <c r="S92" s="507"/>
    </row>
    <row r="93" spans="1:32">
      <c r="A93" s="1874" t="s">
        <v>1763</v>
      </c>
      <c r="B93" s="1880">
        <v>19</v>
      </c>
      <c r="C93" s="1879">
        <v>43655</v>
      </c>
      <c r="D93" s="1879">
        <v>43655</v>
      </c>
      <c r="E93" s="1875" t="s">
        <v>159</v>
      </c>
      <c r="F93" s="1875" t="s">
        <v>719</v>
      </c>
      <c r="G93" s="1881" t="s">
        <v>918</v>
      </c>
      <c r="H93" s="1877">
        <v>13</v>
      </c>
      <c r="I93" s="1882">
        <v>13</v>
      </c>
      <c r="J93" s="1877" t="s">
        <v>926</v>
      </c>
      <c r="K93" s="1875" t="s">
        <v>917</v>
      </c>
      <c r="L93" s="1878">
        <v>6</v>
      </c>
      <c r="M93" s="1878">
        <v>24</v>
      </c>
      <c r="N93" s="1876">
        <v>43671</v>
      </c>
      <c r="Q93" s="507"/>
      <c r="R93" s="507"/>
      <c r="S93" s="507"/>
    </row>
    <row r="94" spans="1:32">
      <c r="A94" s="1874" t="s">
        <v>1762</v>
      </c>
      <c r="B94" s="1880">
        <v>18</v>
      </c>
      <c r="C94" s="1879">
        <v>43655</v>
      </c>
      <c r="D94" s="1879">
        <v>43655</v>
      </c>
      <c r="E94" s="1885" t="s">
        <v>177</v>
      </c>
      <c r="F94" s="1875" t="s">
        <v>719</v>
      </c>
      <c r="G94" s="1881" t="s">
        <v>916</v>
      </c>
      <c r="H94" s="1877">
        <v>498</v>
      </c>
      <c r="I94" s="1882">
        <v>498</v>
      </c>
      <c r="J94" s="1875"/>
      <c r="K94" s="1886" t="s">
        <v>917</v>
      </c>
      <c r="L94" s="1878">
        <v>26</v>
      </c>
      <c r="M94" s="1878">
        <v>104</v>
      </c>
      <c r="N94" s="1876">
        <v>43671</v>
      </c>
      <c r="Q94" s="507"/>
      <c r="R94" s="507"/>
      <c r="S94" s="507"/>
    </row>
    <row r="95" spans="1:32">
      <c r="A95" s="1874" t="s">
        <v>1762</v>
      </c>
      <c r="B95" s="1880">
        <v>18</v>
      </c>
      <c r="C95" s="1879">
        <v>43655</v>
      </c>
      <c r="D95" s="1879">
        <v>43655</v>
      </c>
      <c r="E95" s="1875" t="s">
        <v>159</v>
      </c>
      <c r="F95" s="1875" t="s">
        <v>719</v>
      </c>
      <c r="G95" s="1881" t="s">
        <v>918</v>
      </c>
      <c r="H95" s="1877">
        <v>30</v>
      </c>
      <c r="I95" s="1882">
        <v>30</v>
      </c>
      <c r="J95" s="1877"/>
      <c r="K95" s="1875" t="s">
        <v>917</v>
      </c>
      <c r="L95" s="1878">
        <v>6</v>
      </c>
      <c r="M95" s="1878">
        <v>24</v>
      </c>
      <c r="N95" s="1876">
        <v>43671</v>
      </c>
      <c r="Q95" s="507"/>
      <c r="R95" s="507"/>
      <c r="S95" s="507"/>
    </row>
    <row r="96" spans="1:32">
      <c r="A96" s="1899" t="s">
        <v>1770</v>
      </c>
      <c r="B96" s="1896">
        <v>58</v>
      </c>
      <c r="C96" s="1895">
        <v>43696</v>
      </c>
      <c r="D96" s="1895">
        <v>43696</v>
      </c>
      <c r="E96" s="1900" t="s">
        <v>177</v>
      </c>
      <c r="F96" s="1891" t="s">
        <v>719</v>
      </c>
      <c r="G96" s="1897" t="s">
        <v>916</v>
      </c>
      <c r="H96" s="1893">
        <v>206</v>
      </c>
      <c r="I96" s="1898">
        <v>206</v>
      </c>
      <c r="J96" s="1893" t="s">
        <v>1701</v>
      </c>
      <c r="K96" s="1901" t="s">
        <v>917</v>
      </c>
      <c r="L96" s="1894">
        <v>26</v>
      </c>
      <c r="M96" s="1894">
        <v>104</v>
      </c>
      <c r="N96" s="1892">
        <v>43728</v>
      </c>
      <c r="Q96" s="507"/>
      <c r="R96" s="507"/>
      <c r="S96" s="507"/>
    </row>
    <row r="97" spans="1:19">
      <c r="A97" s="1899" t="s">
        <v>1770</v>
      </c>
      <c r="B97" s="1896">
        <v>58</v>
      </c>
      <c r="C97" s="1895">
        <v>43696</v>
      </c>
      <c r="D97" s="1895">
        <v>43696</v>
      </c>
      <c r="E97" s="1891" t="s">
        <v>159</v>
      </c>
      <c r="F97" s="1891" t="s">
        <v>719</v>
      </c>
      <c r="G97" s="1897" t="s">
        <v>918</v>
      </c>
      <c r="H97" s="1893">
        <v>18</v>
      </c>
      <c r="I97" s="1898">
        <v>18</v>
      </c>
      <c r="J97" s="1893" t="s">
        <v>1769</v>
      </c>
      <c r="K97" s="1891" t="s">
        <v>917</v>
      </c>
      <c r="L97" s="1894">
        <v>6</v>
      </c>
      <c r="M97" s="1894">
        <v>24</v>
      </c>
      <c r="N97" s="1892">
        <v>43728</v>
      </c>
      <c r="Q97" s="507"/>
      <c r="R97" s="507"/>
      <c r="S97" s="507"/>
    </row>
    <row r="98" spans="1:19">
      <c r="A98" s="1891" t="s">
        <v>1771</v>
      </c>
      <c r="B98" s="1896" t="s">
        <v>1254</v>
      </c>
      <c r="C98" s="1895">
        <v>43696</v>
      </c>
      <c r="D98" s="1895">
        <v>43696</v>
      </c>
      <c r="E98" s="1900" t="s">
        <v>177</v>
      </c>
      <c r="F98" s="1891" t="s">
        <v>719</v>
      </c>
      <c r="G98" s="1897" t="s">
        <v>916</v>
      </c>
      <c r="H98" s="1893">
        <v>169</v>
      </c>
      <c r="I98" s="1898">
        <v>169</v>
      </c>
      <c r="J98" s="1893" t="s">
        <v>1701</v>
      </c>
      <c r="K98" s="1901" t="s">
        <v>917</v>
      </c>
      <c r="L98" s="1894">
        <v>26</v>
      </c>
      <c r="M98" s="1894">
        <v>104</v>
      </c>
      <c r="N98" s="1892">
        <v>43728</v>
      </c>
      <c r="Q98" s="507"/>
      <c r="R98" s="507"/>
      <c r="S98" s="507"/>
    </row>
    <row r="99" spans="1:19">
      <c r="A99" s="1891" t="s">
        <v>1771</v>
      </c>
      <c r="B99" s="1896" t="s">
        <v>1254</v>
      </c>
      <c r="C99" s="1895">
        <v>43696</v>
      </c>
      <c r="D99" s="1895">
        <v>43696</v>
      </c>
      <c r="E99" s="1891" t="s">
        <v>159</v>
      </c>
      <c r="F99" s="1891" t="s">
        <v>719</v>
      </c>
      <c r="G99" s="1897" t="s">
        <v>918</v>
      </c>
      <c r="H99" s="1893"/>
      <c r="I99" s="1898"/>
      <c r="J99" s="1893" t="s">
        <v>1772</v>
      </c>
      <c r="K99" s="1891" t="s">
        <v>917</v>
      </c>
      <c r="L99" s="1894">
        <v>6</v>
      </c>
      <c r="M99" s="1894">
        <v>24</v>
      </c>
      <c r="N99" s="1892">
        <v>43728</v>
      </c>
      <c r="Q99" s="507"/>
      <c r="R99" s="507"/>
      <c r="S99" s="507"/>
    </row>
    <row r="100" spans="1:19">
      <c r="A100" s="1899" t="s">
        <v>1773</v>
      </c>
      <c r="B100" s="1896" t="s">
        <v>1255</v>
      </c>
      <c r="C100" s="1895">
        <v>43696</v>
      </c>
      <c r="D100" s="1895">
        <v>43696</v>
      </c>
      <c r="E100" s="1900" t="s">
        <v>177</v>
      </c>
      <c r="F100" s="1891" t="s">
        <v>719</v>
      </c>
      <c r="G100" s="1897" t="s">
        <v>916</v>
      </c>
      <c r="H100" s="1893">
        <v>170</v>
      </c>
      <c r="I100" s="1898">
        <v>170</v>
      </c>
      <c r="J100" s="1893" t="s">
        <v>1701</v>
      </c>
      <c r="K100" s="1901" t="s">
        <v>917</v>
      </c>
      <c r="L100" s="1894">
        <v>26</v>
      </c>
      <c r="M100" s="1894">
        <v>104</v>
      </c>
      <c r="N100" s="1892">
        <v>43728</v>
      </c>
      <c r="Q100" s="507"/>
      <c r="R100" s="507"/>
      <c r="S100" s="507"/>
    </row>
    <row r="101" spans="1:19">
      <c r="A101" s="1899" t="s">
        <v>1773</v>
      </c>
      <c r="B101" s="1896" t="s">
        <v>1255</v>
      </c>
      <c r="C101" s="1895">
        <v>43696</v>
      </c>
      <c r="D101" s="1895">
        <v>43696</v>
      </c>
      <c r="E101" s="1891" t="s">
        <v>159</v>
      </c>
      <c r="F101" s="1891" t="s">
        <v>719</v>
      </c>
      <c r="G101" s="1897" t="s">
        <v>918</v>
      </c>
      <c r="H101" s="1893">
        <v>13</v>
      </c>
      <c r="I101" s="1898">
        <v>13</v>
      </c>
      <c r="J101" s="1893" t="s">
        <v>1769</v>
      </c>
      <c r="K101" s="1891" t="s">
        <v>917</v>
      </c>
      <c r="L101" s="1894">
        <v>6</v>
      </c>
      <c r="M101" s="1894">
        <v>24</v>
      </c>
      <c r="N101" s="1892">
        <v>43728</v>
      </c>
      <c r="Q101" s="507"/>
      <c r="R101" s="507"/>
      <c r="S101" s="507"/>
    </row>
    <row r="102" spans="1:19">
      <c r="A102" s="1899" t="s">
        <v>1768</v>
      </c>
      <c r="B102" s="1896">
        <v>25</v>
      </c>
      <c r="C102" s="1895">
        <v>43696</v>
      </c>
      <c r="D102" s="1895">
        <v>43696</v>
      </c>
      <c r="E102" s="1900" t="s">
        <v>177</v>
      </c>
      <c r="F102" s="1891" t="s">
        <v>719</v>
      </c>
      <c r="G102" s="1897" t="s">
        <v>916</v>
      </c>
      <c r="H102" s="1893">
        <v>85</v>
      </c>
      <c r="I102" s="1898">
        <v>85</v>
      </c>
      <c r="J102" s="1893" t="s">
        <v>1769</v>
      </c>
      <c r="K102" s="1901" t="s">
        <v>917</v>
      </c>
      <c r="L102" s="1894">
        <v>26</v>
      </c>
      <c r="M102" s="1894">
        <v>104</v>
      </c>
      <c r="N102" s="1892">
        <v>43728</v>
      </c>
      <c r="Q102" s="507"/>
      <c r="R102" s="507"/>
      <c r="S102" s="507"/>
    </row>
    <row r="103" spans="1:19">
      <c r="A103" s="1899" t="s">
        <v>1768</v>
      </c>
      <c r="B103" s="1896">
        <v>25</v>
      </c>
      <c r="C103" s="1895">
        <v>43696</v>
      </c>
      <c r="D103" s="1895">
        <v>43696</v>
      </c>
      <c r="E103" s="1891" t="s">
        <v>159</v>
      </c>
      <c r="F103" s="1891" t="s">
        <v>719</v>
      </c>
      <c r="G103" s="1897" t="s">
        <v>918</v>
      </c>
      <c r="H103" s="1893">
        <v>7</v>
      </c>
      <c r="I103" s="1898">
        <v>7</v>
      </c>
      <c r="J103" s="1893" t="s">
        <v>1769</v>
      </c>
      <c r="K103" s="1891" t="s">
        <v>917</v>
      </c>
      <c r="L103" s="1894">
        <v>6</v>
      </c>
      <c r="M103" s="1894">
        <v>24</v>
      </c>
      <c r="N103" s="1892">
        <v>43728</v>
      </c>
      <c r="Q103" s="507"/>
      <c r="R103" s="507"/>
      <c r="S103" s="507"/>
    </row>
    <row r="104" spans="1:19">
      <c r="A104" s="1899" t="s">
        <v>1774</v>
      </c>
      <c r="B104" s="1896">
        <v>5</v>
      </c>
      <c r="C104" s="1895">
        <v>43696</v>
      </c>
      <c r="D104" s="1895">
        <v>43696</v>
      </c>
      <c r="E104" s="1900" t="s">
        <v>177</v>
      </c>
      <c r="F104" s="1891" t="s">
        <v>719</v>
      </c>
      <c r="G104" s="1897" t="s">
        <v>916</v>
      </c>
      <c r="H104" s="1893">
        <v>202</v>
      </c>
      <c r="I104" s="1898">
        <v>202</v>
      </c>
      <c r="J104" s="1893" t="s">
        <v>1701</v>
      </c>
      <c r="K104" s="1901" t="s">
        <v>917</v>
      </c>
      <c r="L104" s="1894">
        <v>26</v>
      </c>
      <c r="M104" s="1894">
        <v>104</v>
      </c>
      <c r="N104" s="1892">
        <v>43728</v>
      </c>
      <c r="Q104" s="507"/>
      <c r="R104" s="507"/>
      <c r="S104" s="507"/>
    </row>
    <row r="105" spans="1:19">
      <c r="A105" s="1899" t="s">
        <v>1774</v>
      </c>
      <c r="B105" s="1896">
        <v>5</v>
      </c>
      <c r="C105" s="1895">
        <v>43696</v>
      </c>
      <c r="D105" s="1895">
        <v>43696</v>
      </c>
      <c r="E105" s="1891" t="s">
        <v>159</v>
      </c>
      <c r="F105" s="1891" t="s">
        <v>719</v>
      </c>
      <c r="G105" s="1897" t="s">
        <v>918</v>
      </c>
      <c r="H105" s="1893">
        <v>14</v>
      </c>
      <c r="I105" s="1898">
        <v>14</v>
      </c>
      <c r="J105" s="1893" t="s">
        <v>1769</v>
      </c>
      <c r="K105" s="1891" t="s">
        <v>917</v>
      </c>
      <c r="L105" s="1894">
        <v>6</v>
      </c>
      <c r="M105" s="1894">
        <v>24</v>
      </c>
      <c r="N105" s="1892">
        <v>43728</v>
      </c>
      <c r="Q105" s="507"/>
      <c r="R105" s="507"/>
      <c r="S105" s="507"/>
    </row>
    <row r="106" spans="1:19">
      <c r="A106" s="1899" t="s">
        <v>1775</v>
      </c>
      <c r="B106" s="1896" t="s">
        <v>1256</v>
      </c>
      <c r="C106" s="1895">
        <v>43696</v>
      </c>
      <c r="D106" s="1895">
        <v>43696</v>
      </c>
      <c r="E106" s="1900" t="s">
        <v>177</v>
      </c>
      <c r="F106" s="1891" t="s">
        <v>719</v>
      </c>
      <c r="G106" s="1897" t="s">
        <v>916</v>
      </c>
      <c r="H106" s="1893">
        <v>479</v>
      </c>
      <c r="I106" s="1898">
        <v>479</v>
      </c>
      <c r="J106" s="1893" t="s">
        <v>1701</v>
      </c>
      <c r="K106" s="1901" t="s">
        <v>917</v>
      </c>
      <c r="L106" s="1894">
        <v>26</v>
      </c>
      <c r="M106" s="1894">
        <v>104</v>
      </c>
      <c r="N106" s="1892">
        <v>43728</v>
      </c>
      <c r="Q106" s="507"/>
      <c r="R106" s="507"/>
      <c r="S106" s="507"/>
    </row>
    <row r="107" spans="1:19">
      <c r="A107" s="1899" t="s">
        <v>1775</v>
      </c>
      <c r="B107" s="1896" t="s">
        <v>1256</v>
      </c>
      <c r="C107" s="1895">
        <v>43696</v>
      </c>
      <c r="D107" s="1895">
        <v>43696</v>
      </c>
      <c r="E107" s="1891" t="s">
        <v>159</v>
      </c>
      <c r="F107" s="1891" t="s">
        <v>719</v>
      </c>
      <c r="G107" s="1897" t="s">
        <v>918</v>
      </c>
      <c r="H107" s="1893">
        <v>55</v>
      </c>
      <c r="I107" s="1898">
        <v>55</v>
      </c>
      <c r="J107" s="1893" t="s">
        <v>1701</v>
      </c>
      <c r="K107" s="1891" t="s">
        <v>917</v>
      </c>
      <c r="L107" s="1894">
        <v>6</v>
      </c>
      <c r="M107" s="1894">
        <v>24</v>
      </c>
      <c r="N107" s="1892">
        <v>43728</v>
      </c>
      <c r="Q107" s="507"/>
      <c r="R107" s="507"/>
      <c r="S107" s="507"/>
    </row>
    <row r="108" spans="1:19">
      <c r="A108" s="1899" t="s">
        <v>1776</v>
      </c>
      <c r="B108" s="1896">
        <v>9</v>
      </c>
      <c r="C108" s="1895">
        <v>43696</v>
      </c>
      <c r="D108" s="1895">
        <v>43696</v>
      </c>
      <c r="E108" s="1900" t="s">
        <v>177</v>
      </c>
      <c r="F108" s="1891" t="s">
        <v>719</v>
      </c>
      <c r="G108" s="1897" t="s">
        <v>916</v>
      </c>
      <c r="H108" s="1893">
        <v>346</v>
      </c>
      <c r="I108" s="1898">
        <v>346</v>
      </c>
      <c r="J108" s="1893" t="s">
        <v>1701</v>
      </c>
      <c r="K108" s="1901" t="s">
        <v>917</v>
      </c>
      <c r="L108" s="1894">
        <v>26</v>
      </c>
      <c r="M108" s="1894">
        <v>104</v>
      </c>
      <c r="N108" s="1892">
        <v>43728</v>
      </c>
      <c r="Q108" s="507"/>
      <c r="R108" s="507"/>
      <c r="S108" s="507"/>
    </row>
    <row r="109" spans="1:19">
      <c r="A109" s="1899" t="s">
        <v>1776</v>
      </c>
      <c r="B109" s="1896">
        <v>9</v>
      </c>
      <c r="C109" s="1895">
        <v>43696</v>
      </c>
      <c r="D109" s="1895">
        <v>43696</v>
      </c>
      <c r="E109" s="1891" t="s">
        <v>159</v>
      </c>
      <c r="F109" s="1891" t="s">
        <v>719</v>
      </c>
      <c r="G109" s="1897" t="s">
        <v>918</v>
      </c>
      <c r="H109" s="1893">
        <v>30</v>
      </c>
      <c r="I109" s="1898">
        <v>30</v>
      </c>
      <c r="J109" s="1893" t="s">
        <v>1701</v>
      </c>
      <c r="K109" s="1891" t="s">
        <v>917</v>
      </c>
      <c r="L109" s="1894">
        <v>6</v>
      </c>
      <c r="M109" s="1894">
        <v>24</v>
      </c>
      <c r="N109" s="1892">
        <v>43728</v>
      </c>
      <c r="Q109" s="507"/>
      <c r="R109" s="507"/>
      <c r="S109" s="507"/>
    </row>
    <row r="110" spans="1:19">
      <c r="A110" s="1899" t="s">
        <v>1777</v>
      </c>
      <c r="B110" s="1896">
        <v>12</v>
      </c>
      <c r="C110" s="1895">
        <v>43696</v>
      </c>
      <c r="D110" s="1895">
        <v>43696</v>
      </c>
      <c r="E110" s="1900" t="s">
        <v>177</v>
      </c>
      <c r="F110" s="1891" t="s">
        <v>719</v>
      </c>
      <c r="G110" s="1897" t="s">
        <v>916</v>
      </c>
      <c r="H110" s="1893">
        <v>382</v>
      </c>
      <c r="I110" s="1898">
        <v>382</v>
      </c>
      <c r="J110" s="1893" t="s">
        <v>1701</v>
      </c>
      <c r="K110" s="1901" t="s">
        <v>917</v>
      </c>
      <c r="L110" s="1894">
        <v>26</v>
      </c>
      <c r="M110" s="1894">
        <v>104</v>
      </c>
      <c r="N110" s="1892">
        <v>43728</v>
      </c>
      <c r="Q110" s="507"/>
      <c r="R110" s="507"/>
      <c r="S110" s="507"/>
    </row>
    <row r="111" spans="1:19">
      <c r="A111" s="1899" t="s">
        <v>1777</v>
      </c>
      <c r="B111" s="1896">
        <v>12</v>
      </c>
      <c r="C111" s="1895">
        <v>43696</v>
      </c>
      <c r="D111" s="1895">
        <v>43696</v>
      </c>
      <c r="E111" s="1891" t="s">
        <v>159</v>
      </c>
      <c r="F111" s="1891" t="s">
        <v>719</v>
      </c>
      <c r="G111" s="1897" t="s">
        <v>918</v>
      </c>
      <c r="H111" s="1893">
        <v>33</v>
      </c>
      <c r="I111" s="1898">
        <v>33</v>
      </c>
      <c r="J111" s="1893" t="s">
        <v>1701</v>
      </c>
      <c r="K111" s="1891" t="s">
        <v>917</v>
      </c>
      <c r="L111" s="1894">
        <v>6</v>
      </c>
      <c r="M111" s="1894">
        <v>24</v>
      </c>
      <c r="N111" s="1892">
        <v>43728</v>
      </c>
      <c r="Q111" s="507"/>
      <c r="R111" s="507"/>
      <c r="S111" s="507"/>
    </row>
    <row r="112" spans="1:19">
      <c r="A112" s="1899" t="s">
        <v>1778</v>
      </c>
      <c r="B112" s="1896" t="s">
        <v>1258</v>
      </c>
      <c r="C112" s="1895">
        <v>43696</v>
      </c>
      <c r="D112" s="1895">
        <v>43696</v>
      </c>
      <c r="E112" s="1900" t="s">
        <v>177</v>
      </c>
      <c r="F112" s="1891" t="s">
        <v>719</v>
      </c>
      <c r="G112" s="1897" t="s">
        <v>916</v>
      </c>
      <c r="H112" s="1893">
        <v>381</v>
      </c>
      <c r="I112" s="1898">
        <v>381</v>
      </c>
      <c r="J112" s="1893" t="s">
        <v>1701</v>
      </c>
      <c r="K112" s="1901" t="s">
        <v>917</v>
      </c>
      <c r="L112" s="1894">
        <v>26</v>
      </c>
      <c r="M112" s="1894">
        <v>104</v>
      </c>
      <c r="N112" s="1892">
        <v>43728</v>
      </c>
      <c r="Q112" s="507"/>
      <c r="R112" s="507"/>
      <c r="S112" s="507"/>
    </row>
    <row r="113" spans="1:19">
      <c r="A113" s="1899" t="s">
        <v>1778</v>
      </c>
      <c r="B113" s="1896" t="s">
        <v>1258</v>
      </c>
      <c r="C113" s="1895">
        <v>43696</v>
      </c>
      <c r="D113" s="1895">
        <v>43696</v>
      </c>
      <c r="E113" s="1891" t="s">
        <v>159</v>
      </c>
      <c r="F113" s="1891" t="s">
        <v>719</v>
      </c>
      <c r="G113" s="1897" t="s">
        <v>918</v>
      </c>
      <c r="H113" s="1893">
        <v>34</v>
      </c>
      <c r="I113" s="1898">
        <v>34</v>
      </c>
      <c r="J113" s="1893" t="s">
        <v>1701</v>
      </c>
      <c r="K113" s="1891" t="s">
        <v>917</v>
      </c>
      <c r="L113" s="1894">
        <v>6</v>
      </c>
      <c r="M113" s="1894">
        <v>24</v>
      </c>
      <c r="N113" s="1892">
        <v>43728</v>
      </c>
      <c r="Q113" s="507"/>
      <c r="R113" s="507"/>
      <c r="S113" s="507"/>
    </row>
    <row r="114" spans="1:19">
      <c r="A114" s="1694" t="s">
        <v>1683</v>
      </c>
      <c r="B114" s="1699" t="s">
        <v>923</v>
      </c>
      <c r="C114" s="1698">
        <v>43690</v>
      </c>
      <c r="D114" s="1698">
        <v>43690</v>
      </c>
      <c r="E114" s="1706" t="s">
        <v>177</v>
      </c>
      <c r="F114" s="1694" t="s">
        <v>719</v>
      </c>
      <c r="G114" s="1701" t="s">
        <v>916</v>
      </c>
      <c r="H114" s="1696">
        <v>278</v>
      </c>
      <c r="I114" s="1702">
        <v>278</v>
      </c>
      <c r="J114" s="1696"/>
      <c r="K114" s="1694" t="s">
        <v>917</v>
      </c>
      <c r="L114" s="1697">
        <v>26</v>
      </c>
      <c r="M114" s="1697">
        <v>104</v>
      </c>
      <c r="N114" s="1695">
        <v>43718</v>
      </c>
      <c r="Q114" s="507"/>
      <c r="R114" s="507"/>
      <c r="S114" s="507"/>
    </row>
    <row r="115" spans="1:19">
      <c r="A115" s="1694" t="s">
        <v>1683</v>
      </c>
      <c r="B115" s="1699" t="s">
        <v>923</v>
      </c>
      <c r="C115" s="1698">
        <v>43690</v>
      </c>
      <c r="D115" s="1698">
        <v>43690</v>
      </c>
      <c r="E115" s="1694" t="s">
        <v>159</v>
      </c>
      <c r="F115" s="1694" t="s">
        <v>719</v>
      </c>
      <c r="G115" s="1701" t="s">
        <v>918</v>
      </c>
      <c r="H115" s="1696">
        <v>37</v>
      </c>
      <c r="I115" s="1702">
        <v>37</v>
      </c>
      <c r="J115" s="1696"/>
      <c r="K115" s="1694" t="s">
        <v>917</v>
      </c>
      <c r="L115" s="1697">
        <v>6</v>
      </c>
      <c r="M115" s="1697">
        <v>24</v>
      </c>
      <c r="N115" s="1695">
        <v>43718</v>
      </c>
      <c r="Q115" s="507"/>
      <c r="R115" s="507"/>
      <c r="S115" s="507"/>
    </row>
    <row r="116" spans="1:19">
      <c r="A116" s="1911" t="s">
        <v>1780</v>
      </c>
      <c r="B116" s="1908">
        <v>26</v>
      </c>
      <c r="C116" s="1907">
        <v>43697</v>
      </c>
      <c r="D116" s="1907">
        <v>43697</v>
      </c>
      <c r="E116" s="1912" t="s">
        <v>177</v>
      </c>
      <c r="F116" s="1903" t="s">
        <v>719</v>
      </c>
      <c r="G116" s="1909" t="s">
        <v>916</v>
      </c>
      <c r="H116" s="1905">
        <v>324</v>
      </c>
      <c r="I116" s="1910">
        <v>324</v>
      </c>
      <c r="J116" s="1905" t="s">
        <v>1701</v>
      </c>
      <c r="K116" s="1913" t="s">
        <v>917</v>
      </c>
      <c r="L116" s="1906">
        <v>26</v>
      </c>
      <c r="M116" s="1906">
        <v>104</v>
      </c>
      <c r="N116" s="1904">
        <v>43728</v>
      </c>
      <c r="Q116" s="507"/>
      <c r="R116" s="507"/>
      <c r="S116" s="507"/>
    </row>
    <row r="117" spans="1:19">
      <c r="A117" s="1902" t="s">
        <v>1780</v>
      </c>
      <c r="B117" s="1908">
        <v>26</v>
      </c>
      <c r="C117" s="1907">
        <v>43697</v>
      </c>
      <c r="D117" s="1907">
        <v>43697</v>
      </c>
      <c r="E117" s="1903" t="s">
        <v>159</v>
      </c>
      <c r="F117" s="1903" t="s">
        <v>719</v>
      </c>
      <c r="G117" s="1909" t="s">
        <v>918</v>
      </c>
      <c r="H117" s="1905">
        <v>26</v>
      </c>
      <c r="I117" s="1910">
        <v>26</v>
      </c>
      <c r="J117" s="1905" t="s">
        <v>1701</v>
      </c>
      <c r="K117" s="1903" t="s">
        <v>917</v>
      </c>
      <c r="L117" s="1906">
        <v>6</v>
      </c>
      <c r="M117" s="1906">
        <v>24</v>
      </c>
      <c r="N117" s="1904">
        <v>43728</v>
      </c>
      <c r="Q117" s="507"/>
      <c r="R117" s="507"/>
      <c r="S117" s="507"/>
    </row>
    <row r="118" spans="1:19">
      <c r="A118" s="1902" t="s">
        <v>1779</v>
      </c>
      <c r="B118" s="1908">
        <v>64</v>
      </c>
      <c r="C118" s="1907">
        <v>43697</v>
      </c>
      <c r="D118" s="1907">
        <v>43697</v>
      </c>
      <c r="E118" s="1912" t="s">
        <v>177</v>
      </c>
      <c r="F118" s="1903" t="s">
        <v>719</v>
      </c>
      <c r="G118" s="1909" t="s">
        <v>916</v>
      </c>
      <c r="H118" s="1905">
        <v>229</v>
      </c>
      <c r="I118" s="1910">
        <v>229</v>
      </c>
      <c r="J118" s="1905" t="s">
        <v>1701</v>
      </c>
      <c r="K118" s="1913" t="s">
        <v>917</v>
      </c>
      <c r="L118" s="1906">
        <v>26</v>
      </c>
      <c r="M118" s="1906">
        <v>104</v>
      </c>
      <c r="N118" s="1904">
        <v>43728</v>
      </c>
      <c r="Q118" s="507"/>
      <c r="R118" s="507"/>
      <c r="S118" s="507"/>
    </row>
    <row r="119" spans="1:19">
      <c r="A119" s="1902" t="s">
        <v>1779</v>
      </c>
      <c r="B119" s="1908">
        <v>64</v>
      </c>
      <c r="C119" s="1907">
        <v>43697</v>
      </c>
      <c r="D119" s="1907">
        <v>43697</v>
      </c>
      <c r="E119" s="1903" t="s">
        <v>159</v>
      </c>
      <c r="F119" s="1903" t="s">
        <v>719</v>
      </c>
      <c r="G119" s="1909" t="s">
        <v>918</v>
      </c>
      <c r="H119" s="1905">
        <v>29</v>
      </c>
      <c r="I119" s="1910">
        <v>29</v>
      </c>
      <c r="J119" s="1905" t="s">
        <v>1701</v>
      </c>
      <c r="K119" s="1903" t="s">
        <v>917</v>
      </c>
      <c r="L119" s="1906">
        <v>6</v>
      </c>
      <c r="M119" s="1906">
        <v>24</v>
      </c>
      <c r="N119" s="1904">
        <v>43728</v>
      </c>
      <c r="Q119" s="507"/>
      <c r="R119" s="507"/>
      <c r="S119" s="507"/>
    </row>
    <row r="120" spans="1:19">
      <c r="A120" s="1903" t="s">
        <v>1781</v>
      </c>
      <c r="B120" s="1908" t="s">
        <v>1257</v>
      </c>
      <c r="C120" s="1907">
        <v>43697</v>
      </c>
      <c r="D120" s="1907">
        <v>43697</v>
      </c>
      <c r="E120" s="1912" t="s">
        <v>177</v>
      </c>
      <c r="F120" s="1903" t="s">
        <v>719</v>
      </c>
      <c r="G120" s="1909" t="s">
        <v>916</v>
      </c>
      <c r="H120" s="1905">
        <v>495</v>
      </c>
      <c r="I120" s="1910">
        <v>495</v>
      </c>
      <c r="J120" s="1905" t="s">
        <v>1701</v>
      </c>
      <c r="K120" s="1913" t="s">
        <v>917</v>
      </c>
      <c r="L120" s="1906">
        <v>26</v>
      </c>
      <c r="M120" s="1906">
        <v>104</v>
      </c>
      <c r="N120" s="1904">
        <v>43728</v>
      </c>
      <c r="Q120" s="507"/>
      <c r="R120" s="507"/>
      <c r="S120" s="507"/>
    </row>
    <row r="121" spans="1:19">
      <c r="A121" s="1911" t="s">
        <v>1781</v>
      </c>
      <c r="B121" s="1908" t="s">
        <v>1257</v>
      </c>
      <c r="C121" s="1907">
        <v>43697</v>
      </c>
      <c r="D121" s="1907">
        <v>43697</v>
      </c>
      <c r="E121" s="1903" t="s">
        <v>159</v>
      </c>
      <c r="F121" s="1903" t="s">
        <v>719</v>
      </c>
      <c r="G121" s="1909" t="s">
        <v>918</v>
      </c>
      <c r="H121" s="1905">
        <v>111</v>
      </c>
      <c r="I121" s="1910">
        <v>111</v>
      </c>
      <c r="J121" s="1905" t="s">
        <v>1701</v>
      </c>
      <c r="K121" s="1903" t="s">
        <v>917</v>
      </c>
      <c r="L121" s="1906">
        <v>6</v>
      </c>
      <c r="M121" s="1906">
        <v>24</v>
      </c>
      <c r="N121" s="1904">
        <v>43728</v>
      </c>
      <c r="Q121" s="507"/>
      <c r="R121" s="507"/>
      <c r="S121" s="507"/>
    </row>
    <row r="122" spans="1:19">
      <c r="A122" s="1903" t="s">
        <v>1783</v>
      </c>
      <c r="B122" s="1908">
        <v>19</v>
      </c>
      <c r="C122" s="1907">
        <v>43697</v>
      </c>
      <c r="D122" s="1907">
        <v>43697</v>
      </c>
      <c r="E122" s="1912" t="s">
        <v>177</v>
      </c>
      <c r="F122" s="1903" t="s">
        <v>719</v>
      </c>
      <c r="G122" s="1909" t="s">
        <v>916</v>
      </c>
      <c r="H122" s="1905">
        <v>342</v>
      </c>
      <c r="I122" s="1910">
        <v>342</v>
      </c>
      <c r="J122" s="1905" t="s">
        <v>1701</v>
      </c>
      <c r="K122" s="1913" t="s">
        <v>917</v>
      </c>
      <c r="L122" s="1906">
        <v>26</v>
      </c>
      <c r="M122" s="1906">
        <v>104</v>
      </c>
      <c r="N122" s="1904">
        <v>43728</v>
      </c>
      <c r="Q122" s="507"/>
      <c r="R122" s="507"/>
      <c r="S122" s="507"/>
    </row>
    <row r="123" spans="1:19">
      <c r="A123" s="1903" t="s">
        <v>1783</v>
      </c>
      <c r="B123" s="1908">
        <v>19</v>
      </c>
      <c r="C123" s="1907">
        <v>43697</v>
      </c>
      <c r="D123" s="1907">
        <v>43697</v>
      </c>
      <c r="E123" s="1903" t="s">
        <v>159</v>
      </c>
      <c r="F123" s="1903" t="s">
        <v>719</v>
      </c>
      <c r="G123" s="1909" t="s">
        <v>918</v>
      </c>
      <c r="H123" s="1905">
        <v>111</v>
      </c>
      <c r="I123" s="1910">
        <v>111</v>
      </c>
      <c r="J123" s="1905" t="s">
        <v>1701</v>
      </c>
      <c r="K123" s="1903" t="s">
        <v>917</v>
      </c>
      <c r="L123" s="1906">
        <v>6</v>
      </c>
      <c r="M123" s="1906">
        <v>24</v>
      </c>
      <c r="N123" s="1904">
        <v>43728</v>
      </c>
      <c r="Q123" s="507"/>
      <c r="R123" s="507"/>
      <c r="S123" s="507"/>
    </row>
    <row r="124" spans="1:19">
      <c r="A124" s="1903" t="s">
        <v>1782</v>
      </c>
      <c r="B124" s="1908">
        <v>18</v>
      </c>
      <c r="C124" s="1907">
        <v>43697</v>
      </c>
      <c r="D124" s="1907">
        <v>43697</v>
      </c>
      <c r="E124" s="1912" t="s">
        <v>177</v>
      </c>
      <c r="F124" s="1903" t="s">
        <v>719</v>
      </c>
      <c r="G124" s="1909" t="s">
        <v>916</v>
      </c>
      <c r="H124" s="1905">
        <v>556</v>
      </c>
      <c r="I124" s="1910">
        <v>556</v>
      </c>
      <c r="J124" s="1905" t="s">
        <v>1701</v>
      </c>
      <c r="K124" s="1913" t="s">
        <v>917</v>
      </c>
      <c r="L124" s="1906">
        <v>26</v>
      </c>
      <c r="M124" s="1906">
        <v>104</v>
      </c>
      <c r="N124" s="1904">
        <v>43728</v>
      </c>
      <c r="Q124" s="507"/>
      <c r="R124" s="507"/>
      <c r="S124" s="507"/>
    </row>
    <row r="125" spans="1:19">
      <c r="A125" s="1903" t="s">
        <v>1782</v>
      </c>
      <c r="B125" s="1908">
        <v>18</v>
      </c>
      <c r="C125" s="1907">
        <v>43697</v>
      </c>
      <c r="D125" s="1907">
        <v>43697</v>
      </c>
      <c r="E125" s="1903" t="s">
        <v>159</v>
      </c>
      <c r="F125" s="1903" t="s">
        <v>719</v>
      </c>
      <c r="G125" s="1909" t="s">
        <v>918</v>
      </c>
      <c r="H125" s="1905">
        <v>87</v>
      </c>
      <c r="I125" s="1910">
        <v>87</v>
      </c>
      <c r="J125" s="1905" t="s">
        <v>1701</v>
      </c>
      <c r="K125" s="1903" t="s">
        <v>917</v>
      </c>
      <c r="L125" s="1906">
        <v>6</v>
      </c>
      <c r="M125" s="1906">
        <v>24</v>
      </c>
      <c r="N125" s="1904">
        <v>43728</v>
      </c>
      <c r="Q125" s="507"/>
      <c r="R125" s="507"/>
      <c r="S125" s="507"/>
    </row>
    <row r="126" spans="1:19">
      <c r="A126" s="1915" t="s">
        <v>1786</v>
      </c>
      <c r="B126" s="1920">
        <v>58</v>
      </c>
      <c r="C126" s="1919">
        <v>43725</v>
      </c>
      <c r="D126" s="1919">
        <v>43725</v>
      </c>
      <c r="E126" s="1925" t="s">
        <v>177</v>
      </c>
      <c r="F126" s="1915" t="s">
        <v>719</v>
      </c>
      <c r="G126" s="1921" t="s">
        <v>916</v>
      </c>
      <c r="H126" s="1917">
        <v>197</v>
      </c>
      <c r="I126" s="1922">
        <v>197</v>
      </c>
      <c r="J126" s="1915"/>
      <c r="K126" s="1926" t="s">
        <v>917</v>
      </c>
      <c r="L126" s="1918">
        <v>26</v>
      </c>
      <c r="M126" s="1918">
        <v>104</v>
      </c>
      <c r="N126" s="1916">
        <v>43753</v>
      </c>
      <c r="Q126" s="507"/>
      <c r="R126" s="507"/>
      <c r="S126" s="507"/>
    </row>
    <row r="127" spans="1:19">
      <c r="A127" s="1923" t="s">
        <v>1786</v>
      </c>
      <c r="B127" s="1920">
        <v>58</v>
      </c>
      <c r="C127" s="1919">
        <v>43725</v>
      </c>
      <c r="D127" s="1919">
        <v>43725</v>
      </c>
      <c r="E127" s="1915" t="s">
        <v>159</v>
      </c>
      <c r="F127" s="1915" t="s">
        <v>719</v>
      </c>
      <c r="G127" s="1921" t="s">
        <v>918</v>
      </c>
      <c r="H127" s="1917">
        <v>6</v>
      </c>
      <c r="I127" s="1922">
        <v>6</v>
      </c>
      <c r="J127" s="1917" t="s">
        <v>926</v>
      </c>
      <c r="K127" s="1915" t="s">
        <v>917</v>
      </c>
      <c r="L127" s="1918">
        <v>6</v>
      </c>
      <c r="M127" s="1918">
        <v>24</v>
      </c>
      <c r="N127" s="1916">
        <v>43753</v>
      </c>
      <c r="Q127" s="507"/>
      <c r="R127" s="507"/>
      <c r="S127" s="507"/>
    </row>
    <row r="128" spans="1:19">
      <c r="A128" s="1915" t="s">
        <v>1787</v>
      </c>
      <c r="B128" s="1920" t="s">
        <v>1254</v>
      </c>
      <c r="C128" s="1919">
        <v>43725</v>
      </c>
      <c r="D128" s="1919">
        <v>43725</v>
      </c>
      <c r="E128" s="1925" t="s">
        <v>177</v>
      </c>
      <c r="F128" s="1915" t="s">
        <v>719</v>
      </c>
      <c r="G128" s="1921" t="s">
        <v>916</v>
      </c>
      <c r="H128" s="1917">
        <v>156</v>
      </c>
      <c r="I128" s="1922">
        <v>156</v>
      </c>
      <c r="J128" s="1915"/>
      <c r="K128" s="1926" t="s">
        <v>917</v>
      </c>
      <c r="L128" s="1918">
        <v>26</v>
      </c>
      <c r="M128" s="1918">
        <v>104</v>
      </c>
      <c r="N128" s="1916">
        <v>43753</v>
      </c>
      <c r="Q128" s="507"/>
      <c r="R128" s="507"/>
      <c r="S128" s="507"/>
    </row>
    <row r="129" spans="1:20" s="1969" customFormat="1">
      <c r="A129" s="1915" t="s">
        <v>1787</v>
      </c>
      <c r="B129" s="1920" t="s">
        <v>1254</v>
      </c>
      <c r="C129" s="1919">
        <v>43725</v>
      </c>
      <c r="D129" s="1919">
        <v>43725</v>
      </c>
      <c r="E129" s="1915" t="s">
        <v>159</v>
      </c>
      <c r="F129" s="1915" t="s">
        <v>719</v>
      </c>
      <c r="G129" s="1921" t="s">
        <v>918</v>
      </c>
      <c r="H129" s="1917">
        <v>7</v>
      </c>
      <c r="I129" s="1922">
        <v>7</v>
      </c>
      <c r="J129" s="1917" t="s">
        <v>926</v>
      </c>
      <c r="K129" s="1915" t="s">
        <v>917</v>
      </c>
      <c r="L129" s="1918">
        <v>6</v>
      </c>
      <c r="M129" s="1918">
        <v>24</v>
      </c>
      <c r="N129" s="1916">
        <v>43753</v>
      </c>
      <c r="Q129" s="1982"/>
      <c r="R129" s="1982"/>
      <c r="S129" s="1982"/>
      <c r="T129" s="1980"/>
    </row>
    <row r="130" spans="1:20" s="1969" customFormat="1">
      <c r="A130" s="1915" t="s">
        <v>1788</v>
      </c>
      <c r="B130" s="1920" t="s">
        <v>1255</v>
      </c>
      <c r="C130" s="1919">
        <v>43725</v>
      </c>
      <c r="D130" s="1919">
        <v>43725</v>
      </c>
      <c r="E130" s="1925" t="s">
        <v>177</v>
      </c>
      <c r="F130" s="1915" t="s">
        <v>719</v>
      </c>
      <c r="G130" s="1921" t="s">
        <v>916</v>
      </c>
      <c r="H130" s="1917">
        <v>165</v>
      </c>
      <c r="I130" s="1922">
        <v>165</v>
      </c>
      <c r="J130" s="1915"/>
      <c r="K130" s="1926" t="s">
        <v>917</v>
      </c>
      <c r="L130" s="1918">
        <v>26</v>
      </c>
      <c r="M130" s="1918">
        <v>104</v>
      </c>
      <c r="N130" s="1916">
        <v>43753</v>
      </c>
      <c r="Q130" s="1982"/>
      <c r="R130" s="1982"/>
      <c r="S130" s="1982"/>
      <c r="T130" s="1980"/>
    </row>
    <row r="131" spans="1:20">
      <c r="A131" s="1915" t="s">
        <v>1788</v>
      </c>
      <c r="B131" s="1920" t="s">
        <v>1255</v>
      </c>
      <c r="C131" s="1919">
        <v>43725</v>
      </c>
      <c r="D131" s="1919">
        <v>43725</v>
      </c>
      <c r="E131" s="1915" t="s">
        <v>159</v>
      </c>
      <c r="F131" s="1915" t="s">
        <v>719</v>
      </c>
      <c r="G131" s="1921" t="s">
        <v>918</v>
      </c>
      <c r="H131" s="1917">
        <v>7</v>
      </c>
      <c r="I131" s="1922">
        <v>7</v>
      </c>
      <c r="J131" s="1917" t="s">
        <v>926</v>
      </c>
      <c r="K131" s="1915" t="s">
        <v>917</v>
      </c>
      <c r="L131" s="1918">
        <v>6</v>
      </c>
      <c r="M131" s="1918">
        <v>24</v>
      </c>
      <c r="N131" s="1916">
        <v>43753</v>
      </c>
      <c r="Q131" s="507"/>
      <c r="R131" s="507"/>
      <c r="S131" s="507"/>
    </row>
    <row r="132" spans="1:20">
      <c r="A132" s="1923" t="s">
        <v>1785</v>
      </c>
      <c r="B132" s="1920">
        <v>25</v>
      </c>
      <c r="C132" s="1919">
        <v>43725</v>
      </c>
      <c r="D132" s="1919">
        <v>43725</v>
      </c>
      <c r="E132" s="1925" t="s">
        <v>177</v>
      </c>
      <c r="F132" s="1915" t="s">
        <v>719</v>
      </c>
      <c r="G132" s="1921" t="s">
        <v>916</v>
      </c>
      <c r="H132" s="1917">
        <v>94</v>
      </c>
      <c r="I132" s="1922">
        <v>94</v>
      </c>
      <c r="J132" s="1917" t="s">
        <v>926</v>
      </c>
      <c r="K132" s="1926" t="s">
        <v>917</v>
      </c>
      <c r="L132" s="1918">
        <v>26</v>
      </c>
      <c r="M132" s="1918">
        <v>104</v>
      </c>
      <c r="N132" s="1916">
        <v>43753</v>
      </c>
      <c r="Q132" s="507"/>
      <c r="R132" s="507"/>
      <c r="S132" s="507"/>
    </row>
    <row r="133" spans="1:20">
      <c r="A133" s="1914" t="s">
        <v>1785</v>
      </c>
      <c r="B133" s="1920">
        <v>25</v>
      </c>
      <c r="C133" s="1919">
        <v>43725</v>
      </c>
      <c r="D133" s="1919">
        <v>43725</v>
      </c>
      <c r="E133" s="1915" t="s">
        <v>159</v>
      </c>
      <c r="F133" s="1915" t="s">
        <v>719</v>
      </c>
      <c r="G133" s="1921" t="s">
        <v>918</v>
      </c>
      <c r="H133" s="1917">
        <v>13</v>
      </c>
      <c r="I133" s="1922">
        <v>13</v>
      </c>
      <c r="J133" s="1917" t="s">
        <v>926</v>
      </c>
      <c r="K133" s="1915" t="s">
        <v>917</v>
      </c>
      <c r="L133" s="1918">
        <v>6</v>
      </c>
      <c r="M133" s="1918">
        <v>24</v>
      </c>
      <c r="N133" s="1916">
        <v>43753</v>
      </c>
      <c r="Q133" s="507"/>
      <c r="R133" s="507"/>
      <c r="S133" s="507"/>
    </row>
    <row r="134" spans="1:20">
      <c r="A134" s="1914" t="s">
        <v>1790</v>
      </c>
      <c r="B134" s="1920">
        <v>5</v>
      </c>
      <c r="C134" s="1919">
        <v>43725</v>
      </c>
      <c r="D134" s="1919">
        <v>43725</v>
      </c>
      <c r="E134" s="1925" t="s">
        <v>177</v>
      </c>
      <c r="F134" s="1915" t="s">
        <v>719</v>
      </c>
      <c r="G134" s="1921" t="s">
        <v>916</v>
      </c>
      <c r="H134" s="1917">
        <v>189</v>
      </c>
      <c r="I134" s="1922">
        <v>189</v>
      </c>
      <c r="J134" s="1915"/>
      <c r="K134" s="1926" t="s">
        <v>917</v>
      </c>
      <c r="L134" s="1918">
        <v>26</v>
      </c>
      <c r="M134" s="1918">
        <v>104</v>
      </c>
      <c r="N134" s="1916">
        <v>43753</v>
      </c>
      <c r="Q134" s="507"/>
      <c r="R134" s="507"/>
      <c r="S134" s="507"/>
    </row>
    <row r="135" spans="1:20">
      <c r="A135" s="1915" t="s">
        <v>1790</v>
      </c>
      <c r="B135" s="1920">
        <v>5</v>
      </c>
      <c r="C135" s="1919">
        <v>43725</v>
      </c>
      <c r="D135" s="1919">
        <v>43725</v>
      </c>
      <c r="E135" s="1915" t="s">
        <v>159</v>
      </c>
      <c r="F135" s="1915" t="s">
        <v>719</v>
      </c>
      <c r="G135" s="1921" t="s">
        <v>918</v>
      </c>
      <c r="H135" s="1917">
        <v>16</v>
      </c>
      <c r="I135" s="1922">
        <v>16</v>
      </c>
      <c r="J135" s="1917" t="s">
        <v>926</v>
      </c>
      <c r="K135" s="1915" t="s">
        <v>917</v>
      </c>
      <c r="L135" s="1918">
        <v>6</v>
      </c>
      <c r="M135" s="1918">
        <v>24</v>
      </c>
      <c r="N135" s="1916">
        <v>43753</v>
      </c>
      <c r="Q135" s="507"/>
      <c r="R135" s="507"/>
      <c r="S135" s="507"/>
    </row>
    <row r="136" spans="1:20">
      <c r="A136" s="1915" t="s">
        <v>1791</v>
      </c>
      <c r="B136" s="1920" t="s">
        <v>1256</v>
      </c>
      <c r="C136" s="1919">
        <v>43725</v>
      </c>
      <c r="D136" s="1919">
        <v>43725</v>
      </c>
      <c r="E136" s="1925" t="s">
        <v>177</v>
      </c>
      <c r="F136" s="1915" t="s">
        <v>719</v>
      </c>
      <c r="G136" s="1921" t="s">
        <v>916</v>
      </c>
      <c r="H136" s="1917">
        <v>437</v>
      </c>
      <c r="I136" s="1922">
        <v>437</v>
      </c>
      <c r="J136" s="1915"/>
      <c r="K136" s="1926" t="s">
        <v>917</v>
      </c>
      <c r="L136" s="1918">
        <v>26</v>
      </c>
      <c r="M136" s="1918">
        <v>104</v>
      </c>
      <c r="N136" s="1916">
        <v>43753</v>
      </c>
      <c r="Q136" s="507"/>
      <c r="R136" s="507"/>
      <c r="S136" s="507"/>
    </row>
    <row r="137" spans="1:20">
      <c r="A137" s="1915" t="s">
        <v>1791</v>
      </c>
      <c r="B137" s="1920" t="s">
        <v>1256</v>
      </c>
      <c r="C137" s="1919">
        <v>43725</v>
      </c>
      <c r="D137" s="1919">
        <v>43725</v>
      </c>
      <c r="E137" s="1915" t="s">
        <v>159</v>
      </c>
      <c r="F137" s="1915" t="s">
        <v>719</v>
      </c>
      <c r="G137" s="1921" t="s">
        <v>918</v>
      </c>
      <c r="H137" s="1917">
        <v>31</v>
      </c>
      <c r="I137" s="1922">
        <v>31</v>
      </c>
      <c r="J137" s="1917"/>
      <c r="K137" s="1915" t="s">
        <v>917</v>
      </c>
      <c r="L137" s="1918">
        <v>6</v>
      </c>
      <c r="M137" s="1918">
        <v>24</v>
      </c>
      <c r="N137" s="1916">
        <v>43753</v>
      </c>
      <c r="Q137" s="507"/>
      <c r="R137" s="507"/>
      <c r="S137" s="507"/>
    </row>
    <row r="138" spans="1:20">
      <c r="A138" s="1914" t="s">
        <v>1793</v>
      </c>
      <c r="B138" s="1920">
        <v>9</v>
      </c>
      <c r="C138" s="1919">
        <v>43725</v>
      </c>
      <c r="D138" s="1919">
        <v>43725</v>
      </c>
      <c r="E138" s="1925" t="s">
        <v>177</v>
      </c>
      <c r="F138" s="1915" t="s">
        <v>719</v>
      </c>
      <c r="G138" s="1921" t="s">
        <v>916</v>
      </c>
      <c r="H138" s="1917">
        <v>346</v>
      </c>
      <c r="I138" s="1922">
        <v>346</v>
      </c>
      <c r="J138" s="1915"/>
      <c r="K138" s="1926" t="s">
        <v>917</v>
      </c>
      <c r="L138" s="1918">
        <v>26</v>
      </c>
      <c r="M138" s="1918">
        <v>104</v>
      </c>
      <c r="N138" s="1916">
        <v>43753</v>
      </c>
      <c r="Q138" s="507"/>
      <c r="R138" s="507"/>
      <c r="S138" s="507"/>
    </row>
    <row r="139" spans="1:20">
      <c r="A139" s="1914" t="s">
        <v>1793</v>
      </c>
      <c r="B139" s="1920">
        <v>9</v>
      </c>
      <c r="C139" s="1919">
        <v>43725</v>
      </c>
      <c r="D139" s="1919">
        <v>43725</v>
      </c>
      <c r="E139" s="1915" t="s">
        <v>159</v>
      </c>
      <c r="F139" s="1915" t="s">
        <v>719</v>
      </c>
      <c r="G139" s="1921" t="s">
        <v>918</v>
      </c>
      <c r="H139" s="1917">
        <v>40</v>
      </c>
      <c r="I139" s="1922">
        <v>40</v>
      </c>
      <c r="J139" s="1917"/>
      <c r="K139" s="1915" t="s">
        <v>917</v>
      </c>
      <c r="L139" s="1918">
        <v>6</v>
      </c>
      <c r="M139" s="1918">
        <v>24</v>
      </c>
      <c r="N139" s="1916">
        <v>43753</v>
      </c>
      <c r="Q139" s="507"/>
      <c r="R139" s="507"/>
      <c r="S139" s="507"/>
    </row>
    <row r="140" spans="1:20">
      <c r="A140" s="1914" t="s">
        <v>1794</v>
      </c>
      <c r="B140" s="1920">
        <v>12</v>
      </c>
      <c r="C140" s="1919">
        <v>43725</v>
      </c>
      <c r="D140" s="1919">
        <v>43725</v>
      </c>
      <c r="E140" s="1925" t="s">
        <v>177</v>
      </c>
      <c r="F140" s="1915" t="s">
        <v>719</v>
      </c>
      <c r="G140" s="1921" t="s">
        <v>916</v>
      </c>
      <c r="H140" s="1917">
        <v>644</v>
      </c>
      <c r="I140" s="1922">
        <v>644</v>
      </c>
      <c r="J140" s="1915"/>
      <c r="K140" s="1926" t="s">
        <v>917</v>
      </c>
      <c r="L140" s="1918">
        <v>26</v>
      </c>
      <c r="M140" s="1918">
        <v>104</v>
      </c>
      <c r="N140" s="1916">
        <v>43753</v>
      </c>
      <c r="Q140" s="507"/>
      <c r="R140" s="507"/>
      <c r="S140" s="507"/>
    </row>
    <row r="141" spans="1:20">
      <c r="A141" s="1914" t="s">
        <v>1794</v>
      </c>
      <c r="B141" s="1920">
        <v>12</v>
      </c>
      <c r="C141" s="1919">
        <v>43725</v>
      </c>
      <c r="D141" s="1919">
        <v>43725</v>
      </c>
      <c r="E141" s="1915" t="s">
        <v>159</v>
      </c>
      <c r="F141" s="1915" t="s">
        <v>719</v>
      </c>
      <c r="G141" s="1921" t="s">
        <v>918</v>
      </c>
      <c r="H141" s="1917">
        <v>35</v>
      </c>
      <c r="I141" s="1922">
        <v>35</v>
      </c>
      <c r="J141" s="1917"/>
      <c r="K141" s="1915" t="s">
        <v>917</v>
      </c>
      <c r="L141" s="1918">
        <v>6</v>
      </c>
      <c r="M141" s="1918">
        <v>24</v>
      </c>
      <c r="N141" s="1916">
        <v>43753</v>
      </c>
      <c r="Q141" s="507"/>
      <c r="R141" s="507"/>
      <c r="S141" s="507"/>
    </row>
    <row r="142" spans="1:20">
      <c r="A142" s="1914" t="s">
        <v>1795</v>
      </c>
      <c r="B142" s="1920" t="s">
        <v>1258</v>
      </c>
      <c r="C142" s="1919">
        <v>43725</v>
      </c>
      <c r="D142" s="1919">
        <v>43725</v>
      </c>
      <c r="E142" s="1925" t="s">
        <v>177</v>
      </c>
      <c r="F142" s="1915" t="s">
        <v>719</v>
      </c>
      <c r="G142" s="1921" t="s">
        <v>916</v>
      </c>
      <c r="H142" s="1917">
        <v>622</v>
      </c>
      <c r="I142" s="1922">
        <v>622</v>
      </c>
      <c r="J142" s="1915"/>
      <c r="K142" s="1926" t="s">
        <v>917</v>
      </c>
      <c r="L142" s="1918">
        <v>26</v>
      </c>
      <c r="M142" s="1918">
        <v>104</v>
      </c>
      <c r="N142" s="1916">
        <v>43753</v>
      </c>
      <c r="Q142" s="507"/>
      <c r="R142" s="507"/>
      <c r="S142" s="507"/>
    </row>
    <row r="143" spans="1:20">
      <c r="A143" s="1914" t="s">
        <v>1795</v>
      </c>
      <c r="B143" s="1920" t="s">
        <v>1258</v>
      </c>
      <c r="C143" s="1919">
        <v>43725</v>
      </c>
      <c r="D143" s="1919">
        <v>43725</v>
      </c>
      <c r="E143" s="1915" t="s">
        <v>159</v>
      </c>
      <c r="F143" s="1915" t="s">
        <v>719</v>
      </c>
      <c r="G143" s="1921" t="s">
        <v>918</v>
      </c>
      <c r="H143" s="1917">
        <v>37</v>
      </c>
      <c r="I143" s="1922">
        <v>37</v>
      </c>
      <c r="J143" s="1917"/>
      <c r="K143" s="1915" t="s">
        <v>917</v>
      </c>
      <c r="L143" s="1918">
        <v>6</v>
      </c>
      <c r="M143" s="1918">
        <v>24</v>
      </c>
      <c r="N143" s="1916">
        <v>43753</v>
      </c>
      <c r="Q143" s="507"/>
      <c r="R143" s="507"/>
      <c r="S143" s="507"/>
    </row>
    <row r="144" spans="1:20">
      <c r="A144" s="1596" t="s">
        <v>1647</v>
      </c>
      <c r="B144" s="1601" t="s">
        <v>923</v>
      </c>
      <c r="C144" s="1600">
        <v>43724</v>
      </c>
      <c r="D144" s="1600">
        <v>43724</v>
      </c>
      <c r="E144" s="1607" t="s">
        <v>177</v>
      </c>
      <c r="F144" s="1596" t="s">
        <v>719</v>
      </c>
      <c r="G144" s="1602" t="s">
        <v>916</v>
      </c>
      <c r="H144" s="1598">
        <v>589</v>
      </c>
      <c r="I144" s="1603">
        <v>589</v>
      </c>
      <c r="J144" s="1596"/>
      <c r="K144" s="1608" t="s">
        <v>917</v>
      </c>
      <c r="L144" s="1599">
        <v>26</v>
      </c>
      <c r="M144" s="1599">
        <v>104</v>
      </c>
      <c r="N144" s="1597">
        <v>43747</v>
      </c>
      <c r="Q144" s="507"/>
      <c r="R144" s="507"/>
      <c r="S144" s="507"/>
    </row>
    <row r="145" spans="1:20">
      <c r="A145" s="1596" t="s">
        <v>1647</v>
      </c>
      <c r="B145" s="1601" t="s">
        <v>923</v>
      </c>
      <c r="C145" s="1600">
        <v>43724</v>
      </c>
      <c r="D145" s="1600">
        <v>43724</v>
      </c>
      <c r="E145" s="1596" t="s">
        <v>159</v>
      </c>
      <c r="F145" s="1596" t="s">
        <v>719</v>
      </c>
      <c r="G145" s="1602" t="s">
        <v>918</v>
      </c>
      <c r="H145" s="1598">
        <v>36</v>
      </c>
      <c r="I145" s="1603">
        <v>36</v>
      </c>
      <c r="J145" s="1598"/>
      <c r="K145" s="1596" t="s">
        <v>917</v>
      </c>
      <c r="L145" s="1599">
        <v>6</v>
      </c>
      <c r="M145" s="1599">
        <v>24</v>
      </c>
      <c r="N145" s="1597">
        <v>43747</v>
      </c>
      <c r="Q145" s="507"/>
      <c r="R145" s="507"/>
      <c r="S145" s="507"/>
    </row>
    <row r="146" spans="1:20">
      <c r="A146" s="1923" t="s">
        <v>1789</v>
      </c>
      <c r="B146" s="1924">
        <v>26</v>
      </c>
      <c r="C146" s="1919">
        <v>43725</v>
      </c>
      <c r="D146" s="1919">
        <v>43725</v>
      </c>
      <c r="E146" s="1925" t="s">
        <v>177</v>
      </c>
      <c r="F146" s="1915" t="s">
        <v>719</v>
      </c>
      <c r="G146" s="1921" t="s">
        <v>916</v>
      </c>
      <c r="H146" s="1917">
        <v>161</v>
      </c>
      <c r="I146" s="1922">
        <v>161</v>
      </c>
      <c r="J146" s="1915"/>
      <c r="K146" s="1926" t="s">
        <v>917</v>
      </c>
      <c r="L146" s="1918">
        <v>26</v>
      </c>
      <c r="M146" s="1918">
        <v>104</v>
      </c>
      <c r="N146" s="1916">
        <v>43753</v>
      </c>
      <c r="Q146" s="507"/>
      <c r="R146" s="507"/>
      <c r="S146" s="507"/>
    </row>
    <row r="147" spans="1:20">
      <c r="A147" s="1923" t="s">
        <v>1789</v>
      </c>
      <c r="B147" s="1924">
        <v>26</v>
      </c>
      <c r="C147" s="1919">
        <v>43725</v>
      </c>
      <c r="D147" s="1919">
        <v>43725</v>
      </c>
      <c r="E147" s="1915" t="s">
        <v>159</v>
      </c>
      <c r="F147" s="1915" t="s">
        <v>719</v>
      </c>
      <c r="G147" s="1921" t="s">
        <v>918</v>
      </c>
      <c r="H147" s="1917">
        <v>23</v>
      </c>
      <c r="I147" s="1922">
        <v>23</v>
      </c>
      <c r="J147" s="1917" t="s">
        <v>926</v>
      </c>
      <c r="K147" s="1915" t="s">
        <v>917</v>
      </c>
      <c r="L147" s="1918">
        <v>6</v>
      </c>
      <c r="M147" s="1918">
        <v>24</v>
      </c>
      <c r="N147" s="1916">
        <v>43753</v>
      </c>
      <c r="Q147" s="507"/>
      <c r="R147" s="507"/>
      <c r="S147" s="507"/>
    </row>
    <row r="148" spans="1:20">
      <c r="A148" s="1914" t="s">
        <v>1784</v>
      </c>
      <c r="B148" s="1920">
        <v>64</v>
      </c>
      <c r="C148" s="1919">
        <v>43725</v>
      </c>
      <c r="D148" s="1919">
        <v>43725</v>
      </c>
      <c r="E148" s="1925" t="s">
        <v>177</v>
      </c>
      <c r="F148" s="1915" t="s">
        <v>719</v>
      </c>
      <c r="G148" s="1921" t="s">
        <v>916</v>
      </c>
      <c r="H148" s="1917">
        <v>337</v>
      </c>
      <c r="I148" s="1922">
        <v>337</v>
      </c>
      <c r="J148" s="1915"/>
      <c r="K148" s="1926" t="s">
        <v>917</v>
      </c>
      <c r="L148" s="1918">
        <v>26</v>
      </c>
      <c r="M148" s="1918">
        <v>104</v>
      </c>
      <c r="N148" s="1916">
        <v>43753</v>
      </c>
      <c r="Q148" s="507"/>
      <c r="R148" s="507"/>
      <c r="S148" s="507"/>
    </row>
    <row r="149" spans="1:20">
      <c r="A149" s="1914" t="s">
        <v>1784</v>
      </c>
      <c r="B149" s="1920">
        <v>64</v>
      </c>
      <c r="C149" s="1919">
        <v>43725</v>
      </c>
      <c r="D149" s="1919">
        <v>43725</v>
      </c>
      <c r="E149" s="1915" t="s">
        <v>159</v>
      </c>
      <c r="F149" s="1915" t="s">
        <v>719</v>
      </c>
      <c r="G149" s="1921" t="s">
        <v>918</v>
      </c>
      <c r="H149" s="1917">
        <v>66</v>
      </c>
      <c r="I149" s="1922">
        <v>66</v>
      </c>
      <c r="J149" s="1917"/>
      <c r="K149" s="1915" t="s">
        <v>917</v>
      </c>
      <c r="L149" s="1918">
        <v>6</v>
      </c>
      <c r="M149" s="1918">
        <v>24</v>
      </c>
      <c r="N149" s="1916">
        <v>43753</v>
      </c>
      <c r="Q149" s="507"/>
      <c r="R149" s="507"/>
      <c r="S149" s="507"/>
    </row>
    <row r="150" spans="1:20">
      <c r="A150" s="1914" t="s">
        <v>1792</v>
      </c>
      <c r="B150" s="1920" t="s">
        <v>1257</v>
      </c>
      <c r="C150" s="1919">
        <v>43725</v>
      </c>
      <c r="D150" s="1919">
        <v>43725</v>
      </c>
      <c r="E150" s="1925" t="s">
        <v>177</v>
      </c>
      <c r="F150" s="1915" t="s">
        <v>719</v>
      </c>
      <c r="G150" s="1921" t="s">
        <v>916</v>
      </c>
      <c r="H150" s="1917">
        <v>605</v>
      </c>
      <c r="I150" s="1922">
        <v>605</v>
      </c>
      <c r="J150" s="1915"/>
      <c r="K150" s="1926" t="s">
        <v>917</v>
      </c>
      <c r="L150" s="1918">
        <v>26</v>
      </c>
      <c r="M150" s="1918">
        <v>104</v>
      </c>
      <c r="N150" s="1916">
        <v>43753</v>
      </c>
      <c r="Q150" s="507"/>
      <c r="R150" s="507"/>
      <c r="S150" s="507"/>
    </row>
    <row r="151" spans="1:20">
      <c r="A151" s="1914" t="s">
        <v>1792</v>
      </c>
      <c r="B151" s="1920" t="s">
        <v>1257</v>
      </c>
      <c r="C151" s="1919">
        <v>43725</v>
      </c>
      <c r="D151" s="1919">
        <v>43725</v>
      </c>
      <c r="E151" s="1915" t="s">
        <v>159</v>
      </c>
      <c r="F151" s="1915" t="s">
        <v>719</v>
      </c>
      <c r="G151" s="1921" t="s">
        <v>918</v>
      </c>
      <c r="H151" s="1917">
        <v>150</v>
      </c>
      <c r="I151" s="1922">
        <v>150</v>
      </c>
      <c r="J151" s="1917"/>
      <c r="K151" s="1915" t="s">
        <v>917</v>
      </c>
      <c r="L151" s="1918">
        <v>6</v>
      </c>
      <c r="M151" s="1918">
        <v>24</v>
      </c>
      <c r="N151" s="1916">
        <v>43753</v>
      </c>
      <c r="Q151" s="507"/>
      <c r="R151" s="507"/>
      <c r="S151" s="507"/>
    </row>
    <row r="152" spans="1:20">
      <c r="A152" s="1927" t="s">
        <v>1797</v>
      </c>
      <c r="B152" s="1933">
        <v>19</v>
      </c>
      <c r="C152" s="1932">
        <v>43725</v>
      </c>
      <c r="D152" s="1932">
        <v>43725</v>
      </c>
      <c r="E152" s="1938" t="s">
        <v>177</v>
      </c>
      <c r="F152" s="1928" t="s">
        <v>719</v>
      </c>
      <c r="G152" s="1934" t="s">
        <v>916</v>
      </c>
      <c r="H152" s="1930">
        <v>376</v>
      </c>
      <c r="I152" s="1935">
        <v>376</v>
      </c>
      <c r="J152" s="1928"/>
      <c r="K152" s="1939" t="s">
        <v>917</v>
      </c>
      <c r="L152" s="1931">
        <v>26</v>
      </c>
      <c r="M152" s="1931">
        <v>104</v>
      </c>
      <c r="N152" s="1929">
        <v>43753</v>
      </c>
      <c r="Q152" s="507"/>
      <c r="R152" s="507"/>
      <c r="S152" s="507"/>
    </row>
    <row r="153" spans="1:20" s="1969" customFormat="1">
      <c r="A153" s="1927" t="s">
        <v>1797</v>
      </c>
      <c r="B153" s="1933">
        <v>19</v>
      </c>
      <c r="C153" s="1932">
        <v>43725</v>
      </c>
      <c r="D153" s="1932">
        <v>43725</v>
      </c>
      <c r="E153" s="1928" t="s">
        <v>159</v>
      </c>
      <c r="F153" s="1928" t="s">
        <v>719</v>
      </c>
      <c r="G153" s="1934" t="s">
        <v>918</v>
      </c>
      <c r="H153" s="1930">
        <v>21</v>
      </c>
      <c r="I153" s="1935">
        <v>21</v>
      </c>
      <c r="J153" s="1930" t="s">
        <v>926</v>
      </c>
      <c r="K153" s="1928" t="s">
        <v>917</v>
      </c>
      <c r="L153" s="1931">
        <v>6</v>
      </c>
      <c r="M153" s="1931">
        <v>24</v>
      </c>
      <c r="N153" s="1929">
        <v>43753</v>
      </c>
      <c r="Q153" s="1982"/>
      <c r="R153" s="1982"/>
      <c r="S153" s="1982"/>
      <c r="T153" s="1980"/>
    </row>
    <row r="154" spans="1:20" s="1969" customFormat="1">
      <c r="A154" s="1927" t="s">
        <v>1796</v>
      </c>
      <c r="B154" s="1933">
        <v>18</v>
      </c>
      <c r="C154" s="1932">
        <v>43725</v>
      </c>
      <c r="D154" s="1932">
        <v>43725</v>
      </c>
      <c r="E154" s="1938" t="s">
        <v>177</v>
      </c>
      <c r="F154" s="1928" t="s">
        <v>719</v>
      </c>
      <c r="G154" s="1934" t="s">
        <v>916</v>
      </c>
      <c r="H154" s="1930">
        <v>524</v>
      </c>
      <c r="I154" s="1935">
        <v>524</v>
      </c>
      <c r="J154" s="1928"/>
      <c r="K154" s="1939" t="s">
        <v>917</v>
      </c>
      <c r="L154" s="1931">
        <v>26</v>
      </c>
      <c r="M154" s="1931">
        <v>104</v>
      </c>
      <c r="N154" s="1929">
        <v>43753</v>
      </c>
      <c r="Q154" s="1982"/>
      <c r="R154" s="1982"/>
      <c r="S154" s="1982"/>
      <c r="T154" s="1980"/>
    </row>
    <row r="155" spans="1:20">
      <c r="A155" s="1927" t="s">
        <v>1796</v>
      </c>
      <c r="B155" s="1933">
        <v>18</v>
      </c>
      <c r="C155" s="1932">
        <v>43725</v>
      </c>
      <c r="D155" s="1932">
        <v>43725</v>
      </c>
      <c r="E155" s="1928" t="s">
        <v>159</v>
      </c>
      <c r="F155" s="1928" t="s">
        <v>719</v>
      </c>
      <c r="G155" s="1934" t="s">
        <v>918</v>
      </c>
      <c r="H155" s="1930">
        <v>103</v>
      </c>
      <c r="I155" s="1935">
        <v>103</v>
      </c>
      <c r="J155" s="1930"/>
      <c r="K155" s="1928" t="s">
        <v>917</v>
      </c>
      <c r="L155" s="1931">
        <v>6</v>
      </c>
      <c r="M155" s="1931">
        <v>24</v>
      </c>
      <c r="N155" s="1929">
        <v>43753</v>
      </c>
      <c r="Q155" s="507"/>
      <c r="R155" s="507"/>
      <c r="S155" s="507"/>
    </row>
    <row r="156" spans="1:20">
      <c r="A156" s="1928" t="s">
        <v>1800</v>
      </c>
      <c r="B156" s="1933">
        <v>58</v>
      </c>
      <c r="C156" s="1932">
        <v>43753</v>
      </c>
      <c r="D156" s="1932">
        <v>43753</v>
      </c>
      <c r="E156" s="1938" t="s">
        <v>177</v>
      </c>
      <c r="F156" s="1928" t="s">
        <v>719</v>
      </c>
      <c r="G156" s="1934" t="s">
        <v>916</v>
      </c>
      <c r="H156" s="1930">
        <v>230</v>
      </c>
      <c r="I156" s="1935">
        <v>230</v>
      </c>
      <c r="J156" s="1928"/>
      <c r="K156" s="1939" t="s">
        <v>917</v>
      </c>
      <c r="L156" s="1931">
        <v>26</v>
      </c>
      <c r="M156" s="1931">
        <v>104</v>
      </c>
      <c r="N156" s="1929">
        <v>43775</v>
      </c>
      <c r="Q156" s="507"/>
      <c r="R156" s="507"/>
      <c r="S156" s="507"/>
    </row>
    <row r="157" spans="1:20">
      <c r="A157" s="1936" t="s">
        <v>1800</v>
      </c>
      <c r="B157" s="1933">
        <v>58</v>
      </c>
      <c r="C157" s="1932">
        <v>43753</v>
      </c>
      <c r="D157" s="1932">
        <v>43753</v>
      </c>
      <c r="E157" s="1928" t="s">
        <v>159</v>
      </c>
      <c r="F157" s="1928" t="s">
        <v>719</v>
      </c>
      <c r="G157" s="1934" t="s">
        <v>918</v>
      </c>
      <c r="H157" s="1930">
        <v>22</v>
      </c>
      <c r="I157" s="1935">
        <v>22</v>
      </c>
      <c r="J157" s="1930" t="s">
        <v>926</v>
      </c>
      <c r="K157" s="1928" t="s">
        <v>917</v>
      </c>
      <c r="L157" s="1931">
        <v>6</v>
      </c>
      <c r="M157" s="1931">
        <v>24</v>
      </c>
      <c r="N157" s="1929">
        <v>43775</v>
      </c>
      <c r="Q157" s="507"/>
      <c r="R157" s="507"/>
      <c r="S157" s="507"/>
    </row>
    <row r="158" spans="1:20">
      <c r="A158" s="1928" t="s">
        <v>1801</v>
      </c>
      <c r="B158" s="1933" t="s">
        <v>1254</v>
      </c>
      <c r="C158" s="1932">
        <v>43753</v>
      </c>
      <c r="D158" s="1932">
        <v>43753</v>
      </c>
      <c r="E158" s="1938" t="s">
        <v>177</v>
      </c>
      <c r="F158" s="1928" t="s">
        <v>719</v>
      </c>
      <c r="G158" s="1934" t="s">
        <v>916</v>
      </c>
      <c r="H158" s="1930">
        <v>152</v>
      </c>
      <c r="I158" s="1935">
        <v>152</v>
      </c>
      <c r="J158" s="1928"/>
      <c r="K158" s="1939" t="s">
        <v>917</v>
      </c>
      <c r="L158" s="1931">
        <v>26</v>
      </c>
      <c r="M158" s="1931">
        <v>104</v>
      </c>
      <c r="N158" s="1929">
        <v>43775</v>
      </c>
      <c r="Q158" s="507"/>
      <c r="R158" s="507"/>
      <c r="S158" s="507"/>
    </row>
    <row r="159" spans="1:20">
      <c r="A159" s="1928" t="s">
        <v>1801</v>
      </c>
      <c r="B159" s="1933" t="s">
        <v>1254</v>
      </c>
      <c r="C159" s="1932">
        <v>43753</v>
      </c>
      <c r="D159" s="1932">
        <v>43753</v>
      </c>
      <c r="E159" s="1928" t="s">
        <v>159</v>
      </c>
      <c r="F159" s="1928" t="s">
        <v>719</v>
      </c>
      <c r="G159" s="1934" t="s">
        <v>918</v>
      </c>
      <c r="H159" s="1930">
        <v>41</v>
      </c>
      <c r="I159" s="1935">
        <v>41</v>
      </c>
      <c r="J159" s="1930"/>
      <c r="K159" s="1928" t="s">
        <v>917</v>
      </c>
      <c r="L159" s="1931">
        <v>6</v>
      </c>
      <c r="M159" s="1931">
        <v>24</v>
      </c>
      <c r="N159" s="1929">
        <v>43775</v>
      </c>
      <c r="Q159" s="507"/>
      <c r="R159" s="507"/>
      <c r="S159" s="507"/>
    </row>
    <row r="160" spans="1:20">
      <c r="A160" s="1928" t="s">
        <v>1802</v>
      </c>
      <c r="B160" s="1933" t="s">
        <v>1255</v>
      </c>
      <c r="C160" s="1932">
        <v>43753</v>
      </c>
      <c r="D160" s="1932">
        <v>43753</v>
      </c>
      <c r="E160" s="1938" t="s">
        <v>177</v>
      </c>
      <c r="F160" s="1928" t="s">
        <v>719</v>
      </c>
      <c r="G160" s="1934" t="s">
        <v>916</v>
      </c>
      <c r="H160" s="1930">
        <v>192</v>
      </c>
      <c r="I160" s="1935">
        <v>192</v>
      </c>
      <c r="J160" s="1928"/>
      <c r="K160" s="1939" t="s">
        <v>917</v>
      </c>
      <c r="L160" s="1931">
        <v>26</v>
      </c>
      <c r="M160" s="1931">
        <v>104</v>
      </c>
      <c r="N160" s="1929">
        <v>43775</v>
      </c>
      <c r="Q160" s="507"/>
      <c r="R160" s="507"/>
      <c r="S160" s="507"/>
    </row>
    <row r="161" spans="1:19">
      <c r="A161" s="1928" t="s">
        <v>1802</v>
      </c>
      <c r="B161" s="1933" t="s">
        <v>1255</v>
      </c>
      <c r="C161" s="1932">
        <v>43753</v>
      </c>
      <c r="D161" s="1932">
        <v>43753</v>
      </c>
      <c r="E161" s="1928" t="s">
        <v>159</v>
      </c>
      <c r="F161" s="1928" t="s">
        <v>719</v>
      </c>
      <c r="G161" s="1934" t="s">
        <v>918</v>
      </c>
      <c r="H161" s="1930">
        <v>6</v>
      </c>
      <c r="I161" s="1935"/>
      <c r="J161" s="1930" t="s">
        <v>919</v>
      </c>
      <c r="K161" s="1928" t="s">
        <v>917</v>
      </c>
      <c r="L161" s="1931">
        <v>6</v>
      </c>
      <c r="M161" s="1931">
        <v>24</v>
      </c>
      <c r="N161" s="1929">
        <v>43775</v>
      </c>
      <c r="Q161" s="507"/>
      <c r="R161" s="507"/>
      <c r="S161" s="507"/>
    </row>
    <row r="162" spans="1:19">
      <c r="A162" s="1936" t="s">
        <v>1799</v>
      </c>
      <c r="B162" s="1933">
        <v>25</v>
      </c>
      <c r="C162" s="1932">
        <v>43753</v>
      </c>
      <c r="D162" s="1932">
        <v>43753</v>
      </c>
      <c r="E162" s="1938" t="s">
        <v>177</v>
      </c>
      <c r="F162" s="1928" t="s">
        <v>719</v>
      </c>
      <c r="G162" s="1934" t="s">
        <v>916</v>
      </c>
      <c r="H162" s="1930">
        <v>61</v>
      </c>
      <c r="I162" s="1935">
        <v>61</v>
      </c>
      <c r="J162" s="1930" t="s">
        <v>926</v>
      </c>
      <c r="K162" s="1939" t="s">
        <v>917</v>
      </c>
      <c r="L162" s="1931">
        <v>26</v>
      </c>
      <c r="M162" s="1931">
        <v>104</v>
      </c>
      <c r="N162" s="1929">
        <v>43775</v>
      </c>
      <c r="Q162" s="507"/>
      <c r="R162" s="507"/>
      <c r="S162" s="507"/>
    </row>
    <row r="163" spans="1:19">
      <c r="A163" s="1927" t="s">
        <v>1799</v>
      </c>
      <c r="B163" s="1933">
        <v>25</v>
      </c>
      <c r="C163" s="1932">
        <v>43753</v>
      </c>
      <c r="D163" s="1932">
        <v>43753</v>
      </c>
      <c r="E163" s="1928" t="s">
        <v>159</v>
      </c>
      <c r="F163" s="1928" t="s">
        <v>719</v>
      </c>
      <c r="G163" s="1934" t="s">
        <v>918</v>
      </c>
      <c r="H163" s="1930">
        <v>6</v>
      </c>
      <c r="I163" s="1935"/>
      <c r="J163" s="1930" t="s">
        <v>919</v>
      </c>
      <c r="K163" s="1928" t="s">
        <v>917</v>
      </c>
      <c r="L163" s="1931">
        <v>6</v>
      </c>
      <c r="M163" s="1931">
        <v>24</v>
      </c>
      <c r="N163" s="1929">
        <v>43775</v>
      </c>
      <c r="Q163" s="507"/>
      <c r="R163" s="507"/>
      <c r="S163" s="507"/>
    </row>
    <row r="164" spans="1:19">
      <c r="A164" s="1927" t="s">
        <v>1804</v>
      </c>
      <c r="B164" s="1933">
        <v>5</v>
      </c>
      <c r="C164" s="1932">
        <v>43753</v>
      </c>
      <c r="D164" s="1932">
        <v>43753</v>
      </c>
      <c r="E164" s="1938" t="s">
        <v>177</v>
      </c>
      <c r="F164" s="1928" t="s">
        <v>719</v>
      </c>
      <c r="G164" s="1934" t="s">
        <v>916</v>
      </c>
      <c r="H164" s="1930">
        <v>173</v>
      </c>
      <c r="I164" s="1935">
        <v>173</v>
      </c>
      <c r="J164" s="1928"/>
      <c r="K164" s="1939" t="s">
        <v>917</v>
      </c>
      <c r="L164" s="1931">
        <v>26</v>
      </c>
      <c r="M164" s="1931">
        <v>104</v>
      </c>
      <c r="N164" s="1929">
        <v>43775</v>
      </c>
      <c r="Q164" s="507"/>
      <c r="R164" s="507"/>
      <c r="S164" s="507"/>
    </row>
    <row r="165" spans="1:19">
      <c r="A165" s="1928" t="s">
        <v>1804</v>
      </c>
      <c r="B165" s="1933">
        <v>5</v>
      </c>
      <c r="C165" s="1932">
        <v>43753</v>
      </c>
      <c r="D165" s="1932">
        <v>43753</v>
      </c>
      <c r="E165" s="1928" t="s">
        <v>159</v>
      </c>
      <c r="F165" s="1928" t="s">
        <v>719</v>
      </c>
      <c r="G165" s="1934" t="s">
        <v>918</v>
      </c>
      <c r="H165" s="1930">
        <v>15</v>
      </c>
      <c r="I165" s="1935">
        <v>15</v>
      </c>
      <c r="J165" s="1930" t="s">
        <v>926</v>
      </c>
      <c r="K165" s="1928" t="s">
        <v>917</v>
      </c>
      <c r="L165" s="1931">
        <v>6</v>
      </c>
      <c r="M165" s="1931">
        <v>24</v>
      </c>
      <c r="N165" s="1929">
        <v>43775</v>
      </c>
      <c r="Q165" s="507"/>
      <c r="R165" s="507"/>
      <c r="S165" s="507"/>
    </row>
    <row r="166" spans="1:19">
      <c r="A166" s="1928" t="s">
        <v>1805</v>
      </c>
      <c r="B166" s="1933" t="s">
        <v>1256</v>
      </c>
      <c r="C166" s="1932">
        <v>43753</v>
      </c>
      <c r="D166" s="1932">
        <v>43753</v>
      </c>
      <c r="E166" s="1938" t="s">
        <v>177</v>
      </c>
      <c r="F166" s="1928" t="s">
        <v>719</v>
      </c>
      <c r="G166" s="1934" t="s">
        <v>916</v>
      </c>
      <c r="H166" s="1930">
        <v>432</v>
      </c>
      <c r="I166" s="1935">
        <v>432</v>
      </c>
      <c r="J166" s="1928"/>
      <c r="K166" s="1939" t="s">
        <v>917</v>
      </c>
      <c r="L166" s="1931">
        <v>26</v>
      </c>
      <c r="M166" s="1931">
        <v>104</v>
      </c>
      <c r="N166" s="1929">
        <v>43775</v>
      </c>
      <c r="Q166" s="507"/>
      <c r="R166" s="507"/>
      <c r="S166" s="507"/>
    </row>
    <row r="167" spans="1:19">
      <c r="A167" s="1928" t="s">
        <v>1805</v>
      </c>
      <c r="B167" s="1933" t="s">
        <v>1256</v>
      </c>
      <c r="C167" s="1932">
        <v>43753</v>
      </c>
      <c r="D167" s="1932">
        <v>43753</v>
      </c>
      <c r="E167" s="1928" t="s">
        <v>159</v>
      </c>
      <c r="F167" s="1928" t="s">
        <v>719</v>
      </c>
      <c r="G167" s="1934" t="s">
        <v>918</v>
      </c>
      <c r="H167" s="1930">
        <v>20</v>
      </c>
      <c r="I167" s="1935">
        <v>20</v>
      </c>
      <c r="J167" s="1930" t="s">
        <v>926</v>
      </c>
      <c r="K167" s="1928" t="s">
        <v>917</v>
      </c>
      <c r="L167" s="1931">
        <v>6</v>
      </c>
      <c r="M167" s="1931">
        <v>24</v>
      </c>
      <c r="N167" s="1929">
        <v>43775</v>
      </c>
      <c r="Q167" s="507"/>
      <c r="R167" s="507"/>
      <c r="S167" s="507"/>
    </row>
    <row r="168" spans="1:19">
      <c r="A168" s="1927" t="s">
        <v>1807</v>
      </c>
      <c r="B168" s="1933">
        <v>9</v>
      </c>
      <c r="C168" s="1932">
        <v>43753</v>
      </c>
      <c r="D168" s="1932">
        <v>43753</v>
      </c>
      <c r="E168" s="1938" t="s">
        <v>177</v>
      </c>
      <c r="F168" s="1928" t="s">
        <v>719</v>
      </c>
      <c r="G168" s="1934" t="s">
        <v>916</v>
      </c>
      <c r="H168" s="1930">
        <v>312</v>
      </c>
      <c r="I168" s="1935">
        <v>312</v>
      </c>
      <c r="J168" s="1928"/>
      <c r="K168" s="1939" t="s">
        <v>917</v>
      </c>
      <c r="L168" s="1931">
        <v>26</v>
      </c>
      <c r="M168" s="1931">
        <v>104</v>
      </c>
      <c r="N168" s="1929">
        <v>43775</v>
      </c>
      <c r="Q168" s="507"/>
      <c r="R168" s="507"/>
      <c r="S168" s="507"/>
    </row>
    <row r="169" spans="1:19">
      <c r="A169" s="1927" t="s">
        <v>1807</v>
      </c>
      <c r="B169" s="1933">
        <v>9</v>
      </c>
      <c r="C169" s="1932">
        <v>43753</v>
      </c>
      <c r="D169" s="1932">
        <v>43753</v>
      </c>
      <c r="E169" s="1928" t="s">
        <v>159</v>
      </c>
      <c r="F169" s="1928" t="s">
        <v>719</v>
      </c>
      <c r="G169" s="1934" t="s">
        <v>918</v>
      </c>
      <c r="H169" s="1930">
        <v>44</v>
      </c>
      <c r="I169" s="1935">
        <v>44</v>
      </c>
      <c r="J169" s="1930"/>
      <c r="K169" s="1928" t="s">
        <v>917</v>
      </c>
      <c r="L169" s="1931">
        <v>6</v>
      </c>
      <c r="M169" s="1931">
        <v>24</v>
      </c>
      <c r="N169" s="1929">
        <v>43775</v>
      </c>
      <c r="Q169" s="507"/>
      <c r="R169" s="507"/>
      <c r="S169" s="507"/>
    </row>
    <row r="170" spans="1:19">
      <c r="A170" s="1927" t="s">
        <v>1808</v>
      </c>
      <c r="B170" s="1933">
        <v>12</v>
      </c>
      <c r="C170" s="1932">
        <v>43753</v>
      </c>
      <c r="D170" s="1932">
        <v>43753</v>
      </c>
      <c r="E170" s="1938" t="s">
        <v>177</v>
      </c>
      <c r="F170" s="1928" t="s">
        <v>719</v>
      </c>
      <c r="G170" s="1934" t="s">
        <v>916</v>
      </c>
      <c r="H170" s="1930">
        <v>351</v>
      </c>
      <c r="I170" s="1935">
        <v>351</v>
      </c>
      <c r="J170" s="1928"/>
      <c r="K170" s="1939" t="s">
        <v>917</v>
      </c>
      <c r="L170" s="1931">
        <v>26</v>
      </c>
      <c r="M170" s="1931">
        <v>104</v>
      </c>
      <c r="N170" s="1929">
        <v>43775</v>
      </c>
      <c r="Q170" s="507"/>
      <c r="R170" s="507"/>
      <c r="S170" s="507"/>
    </row>
    <row r="171" spans="1:19">
      <c r="A171" s="1927" t="s">
        <v>1808</v>
      </c>
      <c r="B171" s="1933">
        <v>12</v>
      </c>
      <c r="C171" s="1932">
        <v>43753</v>
      </c>
      <c r="D171" s="1932">
        <v>43753</v>
      </c>
      <c r="E171" s="1928" t="s">
        <v>159</v>
      </c>
      <c r="F171" s="1928" t="s">
        <v>719</v>
      </c>
      <c r="G171" s="1934" t="s">
        <v>918</v>
      </c>
      <c r="H171" s="1930">
        <v>31</v>
      </c>
      <c r="I171" s="1935">
        <v>31</v>
      </c>
      <c r="J171" s="1930"/>
      <c r="K171" s="1928" t="s">
        <v>917</v>
      </c>
      <c r="L171" s="1931">
        <v>6</v>
      </c>
      <c r="M171" s="1931">
        <v>24</v>
      </c>
      <c r="N171" s="1929">
        <v>43775</v>
      </c>
      <c r="Q171" s="507"/>
      <c r="R171" s="507"/>
      <c r="S171" s="507"/>
    </row>
    <row r="172" spans="1:19">
      <c r="A172" s="1927" t="s">
        <v>1809</v>
      </c>
      <c r="B172" s="1933" t="s">
        <v>1258</v>
      </c>
      <c r="C172" s="1932">
        <v>43753</v>
      </c>
      <c r="D172" s="1932">
        <v>43753</v>
      </c>
      <c r="E172" s="1938" t="s">
        <v>177</v>
      </c>
      <c r="F172" s="1928" t="s">
        <v>719</v>
      </c>
      <c r="G172" s="1934" t="s">
        <v>916</v>
      </c>
      <c r="H172" s="1930">
        <v>388</v>
      </c>
      <c r="I172" s="1935">
        <v>388</v>
      </c>
      <c r="J172" s="1928"/>
      <c r="K172" s="1939" t="s">
        <v>917</v>
      </c>
      <c r="L172" s="1931">
        <v>26</v>
      </c>
      <c r="M172" s="1931">
        <v>104</v>
      </c>
      <c r="N172" s="1929">
        <v>43775</v>
      </c>
      <c r="Q172" s="507"/>
      <c r="R172" s="507"/>
      <c r="S172" s="507"/>
    </row>
    <row r="173" spans="1:19">
      <c r="A173" s="1927" t="s">
        <v>1809</v>
      </c>
      <c r="B173" s="1933" t="s">
        <v>1258</v>
      </c>
      <c r="C173" s="1932">
        <v>43753</v>
      </c>
      <c r="D173" s="1932">
        <v>43753</v>
      </c>
      <c r="E173" s="1928" t="s">
        <v>159</v>
      </c>
      <c r="F173" s="1928" t="s">
        <v>719</v>
      </c>
      <c r="G173" s="1934" t="s">
        <v>918</v>
      </c>
      <c r="H173" s="1930">
        <v>22</v>
      </c>
      <c r="I173" s="1935">
        <v>22</v>
      </c>
      <c r="J173" s="1930" t="s">
        <v>926</v>
      </c>
      <c r="K173" s="1928" t="s">
        <v>917</v>
      </c>
      <c r="L173" s="1931">
        <v>6</v>
      </c>
      <c r="M173" s="1931">
        <v>24</v>
      </c>
      <c r="N173" s="1929">
        <v>43775</v>
      </c>
      <c r="Q173" s="507"/>
      <c r="R173" s="507"/>
      <c r="S173" s="507"/>
    </row>
    <row r="174" spans="1:19">
      <c r="A174" s="1927" t="s">
        <v>1810</v>
      </c>
      <c r="B174" s="1933" t="s">
        <v>923</v>
      </c>
      <c r="C174" s="1932">
        <v>43753</v>
      </c>
      <c r="D174" s="1932">
        <v>43753</v>
      </c>
      <c r="E174" s="1938" t="s">
        <v>177</v>
      </c>
      <c r="F174" s="1928" t="s">
        <v>719</v>
      </c>
      <c r="G174" s="1934" t="s">
        <v>916</v>
      </c>
      <c r="H174" s="1930">
        <v>459</v>
      </c>
      <c r="I174" s="1935">
        <v>459</v>
      </c>
      <c r="J174" s="1928"/>
      <c r="K174" s="1939" t="s">
        <v>917</v>
      </c>
      <c r="L174" s="1931">
        <v>26</v>
      </c>
      <c r="M174" s="1931">
        <v>104</v>
      </c>
      <c r="N174" s="1929">
        <v>43775</v>
      </c>
      <c r="Q174" s="507"/>
      <c r="R174" s="507"/>
      <c r="S174" s="507"/>
    </row>
    <row r="175" spans="1:19">
      <c r="A175" s="1927" t="s">
        <v>1810</v>
      </c>
      <c r="B175" s="1933" t="s">
        <v>923</v>
      </c>
      <c r="C175" s="1932">
        <v>43753</v>
      </c>
      <c r="D175" s="1932">
        <v>43753</v>
      </c>
      <c r="E175" s="1928" t="s">
        <v>159</v>
      </c>
      <c r="F175" s="1928" t="s">
        <v>719</v>
      </c>
      <c r="G175" s="1934" t="s">
        <v>918</v>
      </c>
      <c r="H175" s="1930">
        <v>45</v>
      </c>
      <c r="I175" s="1935">
        <v>45</v>
      </c>
      <c r="J175" s="1930"/>
      <c r="K175" s="1928" t="s">
        <v>917</v>
      </c>
      <c r="L175" s="1931">
        <v>6</v>
      </c>
      <c r="M175" s="1931">
        <v>24</v>
      </c>
      <c r="N175" s="1929">
        <v>43775</v>
      </c>
      <c r="Q175" s="507"/>
      <c r="R175" s="507"/>
      <c r="S175" s="507"/>
    </row>
    <row r="176" spans="1:19">
      <c r="A176" s="1936" t="s">
        <v>1803</v>
      </c>
      <c r="B176" s="1937">
        <v>26</v>
      </c>
      <c r="C176" s="1932">
        <v>43753</v>
      </c>
      <c r="D176" s="1932">
        <v>43753</v>
      </c>
      <c r="E176" s="1938" t="s">
        <v>177</v>
      </c>
      <c r="F176" s="1928" t="s">
        <v>719</v>
      </c>
      <c r="G176" s="1934" t="s">
        <v>916</v>
      </c>
      <c r="H176" s="1930">
        <v>87</v>
      </c>
      <c r="I176" s="1935">
        <v>87</v>
      </c>
      <c r="J176" s="1930" t="s">
        <v>926</v>
      </c>
      <c r="K176" s="1939" t="s">
        <v>917</v>
      </c>
      <c r="L176" s="1931">
        <v>26</v>
      </c>
      <c r="M176" s="1931">
        <v>104</v>
      </c>
      <c r="N176" s="1929">
        <v>43775</v>
      </c>
      <c r="Q176" s="507"/>
      <c r="R176" s="507"/>
      <c r="S176" s="507"/>
    </row>
    <row r="177" spans="1:20">
      <c r="A177" s="1936" t="s">
        <v>1803</v>
      </c>
      <c r="B177" s="1937">
        <v>26</v>
      </c>
      <c r="C177" s="1932">
        <v>43753</v>
      </c>
      <c r="D177" s="1932">
        <v>43753</v>
      </c>
      <c r="E177" s="1928" t="s">
        <v>159</v>
      </c>
      <c r="F177" s="1928" t="s">
        <v>719</v>
      </c>
      <c r="G177" s="1934" t="s">
        <v>918</v>
      </c>
      <c r="H177" s="1930">
        <v>18</v>
      </c>
      <c r="I177" s="1935">
        <v>18</v>
      </c>
      <c r="J177" s="1930" t="s">
        <v>926</v>
      </c>
      <c r="K177" s="1928" t="s">
        <v>917</v>
      </c>
      <c r="L177" s="1931">
        <v>6</v>
      </c>
      <c r="M177" s="1931">
        <v>24</v>
      </c>
      <c r="N177" s="1929">
        <v>43775</v>
      </c>
      <c r="Q177" s="507"/>
      <c r="R177" s="507"/>
      <c r="S177" s="507"/>
    </row>
    <row r="178" spans="1:20">
      <c r="A178" s="1927" t="s">
        <v>1798</v>
      </c>
      <c r="B178" s="1933">
        <v>64</v>
      </c>
      <c r="C178" s="1932">
        <v>43753</v>
      </c>
      <c r="D178" s="1932">
        <v>43753</v>
      </c>
      <c r="E178" s="1938" t="s">
        <v>177</v>
      </c>
      <c r="F178" s="1928" t="s">
        <v>719</v>
      </c>
      <c r="G178" s="1934" t="s">
        <v>916</v>
      </c>
      <c r="H178" s="1930">
        <v>637</v>
      </c>
      <c r="I178" s="1935">
        <v>637</v>
      </c>
      <c r="J178" s="1928"/>
      <c r="K178" s="1939" t="s">
        <v>917</v>
      </c>
      <c r="L178" s="1931">
        <v>26</v>
      </c>
      <c r="M178" s="1931">
        <v>104</v>
      </c>
      <c r="N178" s="1929">
        <v>43775</v>
      </c>
      <c r="Q178" s="507"/>
      <c r="R178" s="507"/>
      <c r="S178" s="507"/>
    </row>
    <row r="179" spans="1:20">
      <c r="A179" s="1927" t="s">
        <v>1798</v>
      </c>
      <c r="B179" s="1933">
        <v>64</v>
      </c>
      <c r="C179" s="1932">
        <v>43753</v>
      </c>
      <c r="D179" s="1932">
        <v>43753</v>
      </c>
      <c r="E179" s="1928" t="s">
        <v>159</v>
      </c>
      <c r="F179" s="1928" t="s">
        <v>719</v>
      </c>
      <c r="G179" s="1934" t="s">
        <v>918</v>
      </c>
      <c r="H179" s="1930">
        <v>29</v>
      </c>
      <c r="I179" s="1935">
        <v>29</v>
      </c>
      <c r="J179" s="1930"/>
      <c r="K179" s="1928" t="s">
        <v>917</v>
      </c>
      <c r="L179" s="1931">
        <v>6</v>
      </c>
      <c r="M179" s="1931">
        <v>24</v>
      </c>
      <c r="N179" s="1929">
        <v>43775</v>
      </c>
      <c r="Q179" s="507"/>
      <c r="R179" s="507"/>
      <c r="S179" s="507"/>
    </row>
    <row r="180" spans="1:20">
      <c r="A180" s="1927" t="s">
        <v>1806</v>
      </c>
      <c r="B180" s="1933" t="s">
        <v>1257</v>
      </c>
      <c r="C180" s="1932">
        <v>43753</v>
      </c>
      <c r="D180" s="1932">
        <v>43753</v>
      </c>
      <c r="E180" s="1938" t="s">
        <v>177</v>
      </c>
      <c r="F180" s="1928" t="s">
        <v>719</v>
      </c>
      <c r="G180" s="1934" t="s">
        <v>916</v>
      </c>
      <c r="H180" s="1930">
        <v>706</v>
      </c>
      <c r="I180" s="1935">
        <v>706</v>
      </c>
      <c r="J180" s="1928"/>
      <c r="K180" s="1939" t="s">
        <v>917</v>
      </c>
      <c r="L180" s="1931">
        <v>26</v>
      </c>
      <c r="M180" s="1931">
        <v>104</v>
      </c>
      <c r="N180" s="1929">
        <v>43775</v>
      </c>
      <c r="Q180" s="507"/>
      <c r="R180" s="507"/>
      <c r="S180" s="507"/>
    </row>
    <row r="181" spans="1:20">
      <c r="A181" s="1927" t="s">
        <v>1806</v>
      </c>
      <c r="B181" s="1933" t="s">
        <v>1257</v>
      </c>
      <c r="C181" s="1932">
        <v>43753</v>
      </c>
      <c r="D181" s="1932">
        <v>43753</v>
      </c>
      <c r="E181" s="1928" t="s">
        <v>159</v>
      </c>
      <c r="F181" s="1928" t="s">
        <v>719</v>
      </c>
      <c r="G181" s="1934" t="s">
        <v>918</v>
      </c>
      <c r="H181" s="1930">
        <v>109</v>
      </c>
      <c r="I181" s="1935">
        <v>109</v>
      </c>
      <c r="J181" s="1930"/>
      <c r="K181" s="1928" t="s">
        <v>917</v>
      </c>
      <c r="L181" s="1931">
        <v>6</v>
      </c>
      <c r="M181" s="1931">
        <v>24</v>
      </c>
      <c r="N181" s="1929">
        <v>43775</v>
      </c>
      <c r="Q181" s="507"/>
      <c r="R181" s="507"/>
      <c r="S181" s="507"/>
    </row>
    <row r="182" spans="1:20">
      <c r="A182" s="1927" t="s">
        <v>1812</v>
      </c>
      <c r="B182" s="1933">
        <v>19</v>
      </c>
      <c r="C182" s="1932">
        <v>43753</v>
      </c>
      <c r="D182" s="1932">
        <v>43753</v>
      </c>
      <c r="E182" s="1938" t="s">
        <v>177</v>
      </c>
      <c r="F182" s="1928" t="s">
        <v>719</v>
      </c>
      <c r="G182" s="1934" t="s">
        <v>916</v>
      </c>
      <c r="H182" s="1930">
        <v>191</v>
      </c>
      <c r="I182" s="1935">
        <v>191</v>
      </c>
      <c r="J182" s="1928"/>
      <c r="K182" s="1939" t="s">
        <v>917</v>
      </c>
      <c r="L182" s="1931">
        <v>26</v>
      </c>
      <c r="M182" s="1931">
        <v>104</v>
      </c>
      <c r="N182" s="1929">
        <v>43775</v>
      </c>
      <c r="Q182" s="507"/>
      <c r="R182" s="507"/>
      <c r="S182" s="507"/>
    </row>
    <row r="183" spans="1:20">
      <c r="A183" s="1927" t="s">
        <v>1812</v>
      </c>
      <c r="B183" s="1933">
        <v>19</v>
      </c>
      <c r="C183" s="1932">
        <v>43753</v>
      </c>
      <c r="D183" s="1932">
        <v>43753</v>
      </c>
      <c r="E183" s="1928" t="s">
        <v>159</v>
      </c>
      <c r="F183" s="1928" t="s">
        <v>719</v>
      </c>
      <c r="G183" s="1934" t="s">
        <v>918</v>
      </c>
      <c r="H183" s="1930">
        <v>12</v>
      </c>
      <c r="I183" s="1935">
        <v>12</v>
      </c>
      <c r="J183" s="1930" t="s">
        <v>926</v>
      </c>
      <c r="K183" s="1928" t="s">
        <v>917</v>
      </c>
      <c r="L183" s="1931">
        <v>6</v>
      </c>
      <c r="M183" s="1931">
        <v>24</v>
      </c>
      <c r="N183" s="1929">
        <v>43775</v>
      </c>
      <c r="Q183" s="507"/>
      <c r="R183" s="507"/>
      <c r="S183" s="507"/>
    </row>
    <row r="184" spans="1:20">
      <c r="A184" s="1927" t="s">
        <v>1811</v>
      </c>
      <c r="B184" s="1933">
        <v>18</v>
      </c>
      <c r="C184" s="1932">
        <v>43753</v>
      </c>
      <c r="D184" s="1932">
        <v>43753</v>
      </c>
      <c r="E184" s="1938" t="s">
        <v>177</v>
      </c>
      <c r="F184" s="1928" t="s">
        <v>719</v>
      </c>
      <c r="G184" s="1934" t="s">
        <v>916</v>
      </c>
      <c r="H184" s="1930">
        <v>246</v>
      </c>
      <c r="I184" s="1935">
        <v>246</v>
      </c>
      <c r="J184" s="1928"/>
      <c r="K184" s="1939" t="s">
        <v>917</v>
      </c>
      <c r="L184" s="1931">
        <v>26</v>
      </c>
      <c r="M184" s="1931">
        <v>104</v>
      </c>
      <c r="N184" s="1929">
        <v>43775</v>
      </c>
      <c r="Q184" s="507"/>
      <c r="R184" s="507"/>
      <c r="S184" s="507"/>
    </row>
    <row r="185" spans="1:20" s="1969" customFormat="1">
      <c r="A185" s="1927" t="s">
        <v>1811</v>
      </c>
      <c r="B185" s="1933">
        <v>18</v>
      </c>
      <c r="C185" s="1932">
        <v>43753</v>
      </c>
      <c r="D185" s="1932">
        <v>43753</v>
      </c>
      <c r="E185" s="1928" t="s">
        <v>159</v>
      </c>
      <c r="F185" s="1928" t="s">
        <v>719</v>
      </c>
      <c r="G185" s="1934" t="s">
        <v>918</v>
      </c>
      <c r="H185" s="1930">
        <v>16</v>
      </c>
      <c r="I185" s="1935">
        <v>16</v>
      </c>
      <c r="J185" s="1930" t="s">
        <v>926</v>
      </c>
      <c r="K185" s="1928" t="s">
        <v>917</v>
      </c>
      <c r="L185" s="1931">
        <v>6</v>
      </c>
      <c r="M185" s="1931">
        <v>24</v>
      </c>
      <c r="N185" s="1929">
        <v>43775</v>
      </c>
      <c r="Q185" s="1982"/>
      <c r="R185" s="1982"/>
      <c r="S185" s="1982"/>
      <c r="T185" s="1980"/>
    </row>
    <row r="186" spans="1:20" s="1969" customFormat="1">
      <c r="Q186" s="1982"/>
      <c r="R186" s="1982"/>
      <c r="S186" s="1982"/>
      <c r="T186" s="1980"/>
    </row>
    <row r="187" spans="1:20">
      <c r="Q187" s="507"/>
      <c r="R187" s="507"/>
      <c r="S187" s="507"/>
    </row>
    <row r="188" spans="1:20">
      <c r="B188" s="1223"/>
      <c r="C188" s="1023"/>
      <c r="D188" s="505"/>
      <c r="E188" s="227"/>
      <c r="F188" s="227"/>
      <c r="G188" s="229"/>
      <c r="H188" s="227"/>
      <c r="I188" s="228"/>
      <c r="J188" s="227"/>
      <c r="K188" s="227"/>
      <c r="L188" s="174"/>
      <c r="M188" s="174"/>
      <c r="N188" s="175"/>
    </row>
    <row r="189" spans="1:20">
      <c r="B189" s="506"/>
      <c r="C189" s="507"/>
      <c r="D189" s="505"/>
      <c r="E189" s="228"/>
      <c r="F189" s="227"/>
      <c r="G189" s="229"/>
      <c r="H189" s="227"/>
      <c r="I189" s="228"/>
      <c r="J189" s="227"/>
      <c r="K189" s="163"/>
      <c r="L189" s="174"/>
      <c r="M189" s="174"/>
      <c r="N189" s="175"/>
    </row>
    <row r="190" spans="1:20">
      <c r="B190" s="506"/>
      <c r="C190" s="505"/>
      <c r="D190" s="505"/>
      <c r="E190" s="227"/>
      <c r="F190" s="227"/>
      <c r="G190" s="227"/>
      <c r="H190" s="227"/>
      <c r="I190" s="228"/>
      <c r="J190" s="227"/>
      <c r="K190" s="163"/>
      <c r="L190" s="176"/>
      <c r="M190" s="176"/>
      <c r="N190" s="175"/>
    </row>
    <row r="191" spans="1:20">
      <c r="B191" s="506"/>
      <c r="C191" s="505"/>
      <c r="D191" s="505"/>
      <c r="E191" s="227"/>
      <c r="F191" s="227"/>
      <c r="G191" s="227"/>
      <c r="H191" s="227"/>
      <c r="I191" s="228"/>
      <c r="J191" s="227"/>
      <c r="K191" s="163"/>
      <c r="L191" s="176"/>
      <c r="M191" s="176"/>
      <c r="N191" s="175"/>
    </row>
    <row r="192" spans="1:20">
      <c r="B192" s="506"/>
      <c r="C192" s="505"/>
      <c r="D192" s="505"/>
      <c r="E192" s="227"/>
      <c r="F192" s="227"/>
      <c r="G192" s="535"/>
      <c r="H192" s="535"/>
      <c r="I192" s="228"/>
      <c r="J192" s="227"/>
      <c r="K192" s="227"/>
      <c r="L192" s="176"/>
      <c r="M192" s="176"/>
      <c r="N192" s="175"/>
    </row>
    <row r="193" spans="1:14">
      <c r="B193" s="506"/>
      <c r="C193" s="505"/>
      <c r="D193" s="505"/>
      <c r="E193" s="227"/>
      <c r="F193" s="227"/>
      <c r="G193" s="535"/>
      <c r="H193" s="535"/>
      <c r="I193" s="228"/>
      <c r="J193" s="227"/>
      <c r="K193" s="163"/>
      <c r="L193" s="176"/>
      <c r="M193" s="176"/>
      <c r="N193" s="175"/>
    </row>
    <row r="194" spans="1:14">
      <c r="B194" s="506"/>
      <c r="C194" s="505"/>
      <c r="D194" s="505"/>
      <c r="E194" s="227"/>
      <c r="F194" s="227"/>
      <c r="G194" s="227"/>
      <c r="H194" s="227"/>
      <c r="I194" s="228"/>
      <c r="J194" s="227"/>
      <c r="K194" s="163"/>
      <c r="L194" s="176"/>
      <c r="M194" s="176"/>
      <c r="N194" s="175"/>
    </row>
    <row r="195" spans="1:14">
      <c r="B195" s="506"/>
      <c r="C195" s="505"/>
      <c r="D195" s="505"/>
      <c r="E195" s="228"/>
      <c r="F195" s="227"/>
      <c r="G195" s="229"/>
      <c r="H195" s="227"/>
      <c r="I195" s="228"/>
      <c r="J195" s="227"/>
      <c r="K195" s="163"/>
      <c r="L195" s="174"/>
      <c r="M195" s="174"/>
      <c r="N195" s="175"/>
    </row>
    <row r="196" spans="1:14">
      <c r="B196" s="506"/>
      <c r="C196" s="505"/>
      <c r="D196" s="505"/>
      <c r="E196" s="228"/>
      <c r="F196" s="227"/>
      <c r="G196" s="229"/>
      <c r="H196" s="227"/>
      <c r="I196" s="228"/>
      <c r="J196" s="227"/>
      <c r="K196" s="163"/>
      <c r="L196" s="174"/>
      <c r="M196" s="174"/>
      <c r="N196" s="175"/>
    </row>
    <row r="197" spans="1:14">
      <c r="B197" s="92"/>
      <c r="C197" s="435"/>
      <c r="D197" s="227"/>
      <c r="E197" s="228"/>
      <c r="F197" s="227"/>
      <c r="G197" s="229"/>
      <c r="H197" s="227"/>
      <c r="I197" s="228"/>
      <c r="J197" s="227"/>
      <c r="K197" s="163"/>
      <c r="L197" s="174"/>
      <c r="M197" s="174"/>
      <c r="N197" s="175"/>
    </row>
    <row r="198" spans="1:14">
      <c r="B198" s="506"/>
      <c r="C198" s="505"/>
      <c r="D198" s="505"/>
      <c r="E198" s="228"/>
      <c r="F198" s="227"/>
      <c r="G198" s="1113"/>
      <c r="H198" s="535"/>
      <c r="I198" s="228"/>
      <c r="J198" s="227"/>
      <c r="K198" s="163"/>
      <c r="L198" s="174"/>
      <c r="M198" s="174"/>
      <c r="N198" s="175"/>
    </row>
    <row r="199" spans="1:14">
      <c r="B199" s="506"/>
      <c r="C199" s="505"/>
      <c r="D199" s="505"/>
      <c r="E199" s="228"/>
      <c r="F199" s="227"/>
      <c r="G199" s="1113"/>
      <c r="H199" s="535"/>
      <c r="I199" s="228"/>
      <c r="J199" s="227"/>
      <c r="K199" s="163"/>
      <c r="L199" s="174"/>
      <c r="M199" s="174"/>
      <c r="N199" s="175"/>
    </row>
    <row r="200" spans="1:14">
      <c r="B200" s="506"/>
      <c r="C200" s="505"/>
      <c r="D200" s="505"/>
      <c r="E200" s="228"/>
      <c r="F200" s="227"/>
      <c r="G200" s="1113"/>
      <c r="H200" s="535"/>
      <c r="I200" s="228"/>
      <c r="J200" s="227"/>
      <c r="K200" s="163"/>
      <c r="L200" s="174"/>
      <c r="M200" s="174"/>
      <c r="N200" s="175"/>
    </row>
    <row r="201" spans="1:14">
      <c r="B201" s="506"/>
      <c r="C201" s="505"/>
      <c r="D201" s="505"/>
      <c r="F201" s="227"/>
      <c r="G201" s="470"/>
      <c r="H201" s="470"/>
    </row>
    <row r="202" spans="1:14">
      <c r="B202" s="506"/>
      <c r="C202" s="505"/>
      <c r="D202" s="505"/>
      <c r="E202" s="227"/>
      <c r="F202" s="227"/>
      <c r="G202" s="229"/>
      <c r="H202" s="227"/>
      <c r="I202" s="228"/>
      <c r="J202" s="227"/>
      <c r="K202" s="227"/>
      <c r="L202" s="174"/>
      <c r="M202" s="174"/>
      <c r="N202" s="175"/>
    </row>
    <row r="203" spans="1:14">
      <c r="A203" s="507"/>
      <c r="B203" s="506"/>
      <c r="C203" s="507"/>
      <c r="D203" s="505"/>
      <c r="E203" s="228"/>
      <c r="F203" s="227"/>
      <c r="G203" s="229"/>
      <c r="H203" s="227"/>
      <c r="I203" s="228"/>
      <c r="J203" s="227"/>
      <c r="K203" s="163"/>
      <c r="L203" s="174"/>
      <c r="M203" s="174"/>
      <c r="N203" s="175"/>
    </row>
    <row r="204" spans="1:14">
      <c r="B204" s="506"/>
      <c r="C204" s="507"/>
      <c r="D204" s="505"/>
      <c r="E204" s="227"/>
      <c r="F204" s="227"/>
      <c r="G204" s="227"/>
      <c r="H204" s="227"/>
      <c r="I204" s="228"/>
      <c r="J204" s="227"/>
      <c r="K204" s="163"/>
      <c r="L204" s="176"/>
      <c r="M204" s="176"/>
      <c r="N204" s="175"/>
    </row>
    <row r="205" spans="1:14">
      <c r="B205" s="506"/>
      <c r="C205" s="507"/>
      <c r="D205" s="505"/>
      <c r="E205" s="228"/>
      <c r="F205" s="227"/>
      <c r="G205" s="229"/>
      <c r="H205" s="227"/>
      <c r="I205" s="228"/>
      <c r="J205" s="227"/>
      <c r="K205" s="163"/>
      <c r="L205" s="174"/>
      <c r="M205" s="174"/>
      <c r="N205" s="175"/>
    </row>
    <row r="206" spans="1:14">
      <c r="B206" s="506"/>
      <c r="C206" s="507"/>
      <c r="D206" s="505"/>
      <c r="E206" s="227"/>
      <c r="F206" s="227"/>
      <c r="G206" s="227"/>
      <c r="H206" s="227"/>
      <c r="I206" s="228"/>
      <c r="J206" s="227"/>
      <c r="K206" s="163"/>
      <c r="L206" s="176"/>
      <c r="M206" s="176"/>
      <c r="N206" s="175"/>
    </row>
    <row r="207" spans="1:14">
      <c r="B207" s="506"/>
      <c r="C207" s="507"/>
      <c r="D207" s="505"/>
      <c r="E207" s="228"/>
      <c r="F207" s="227"/>
      <c r="G207" s="229"/>
      <c r="H207" s="227"/>
      <c r="I207" s="228"/>
      <c r="J207" s="227"/>
      <c r="K207" s="163"/>
      <c r="L207" s="174"/>
      <c r="M207" s="174"/>
      <c r="N207" s="175"/>
    </row>
    <row r="208" spans="1:14">
      <c r="B208" s="1026"/>
      <c r="C208" s="1027"/>
      <c r="D208" s="1023"/>
      <c r="E208" s="227"/>
      <c r="F208" s="227"/>
      <c r="G208" s="227"/>
      <c r="H208" s="227"/>
      <c r="I208" s="228"/>
      <c r="J208" s="227"/>
      <c r="K208" s="163"/>
      <c r="L208" s="176"/>
      <c r="M208" s="176"/>
      <c r="N208" s="175"/>
    </row>
    <row r="209" spans="1:14">
      <c r="B209" s="1026"/>
      <c r="C209" s="1027"/>
      <c r="D209" s="1023"/>
      <c r="E209" s="228"/>
      <c r="F209" s="227"/>
      <c r="G209" s="229"/>
      <c r="H209" s="227"/>
      <c r="I209" s="228"/>
      <c r="J209" s="227"/>
      <c r="K209" s="163"/>
      <c r="L209" s="174"/>
      <c r="M209" s="174"/>
      <c r="N209" s="175"/>
    </row>
    <row r="210" spans="1:14">
      <c r="B210" s="506"/>
      <c r="C210" s="507"/>
      <c r="D210" s="505"/>
      <c r="E210" s="228"/>
      <c r="F210" s="505"/>
      <c r="G210" s="1113"/>
      <c r="H210" s="535"/>
      <c r="I210" s="228"/>
      <c r="J210" s="227"/>
      <c r="K210" s="163"/>
      <c r="L210" s="174"/>
      <c r="M210" s="174"/>
      <c r="N210" s="175"/>
    </row>
    <row r="211" spans="1:14">
      <c r="B211" s="506"/>
      <c r="C211" s="507"/>
      <c r="D211" s="505"/>
      <c r="E211" s="228"/>
      <c r="F211" s="227"/>
      <c r="G211" s="1113"/>
      <c r="H211" s="535"/>
      <c r="I211" s="228"/>
      <c r="J211" s="227"/>
      <c r="K211" s="163"/>
      <c r="L211" s="174"/>
      <c r="M211" s="174"/>
      <c r="N211" s="175"/>
    </row>
    <row r="212" spans="1:14">
      <c r="B212" s="506"/>
      <c r="C212" s="507"/>
      <c r="D212" s="505"/>
      <c r="E212" s="227"/>
      <c r="F212" s="227"/>
      <c r="G212" s="535"/>
      <c r="H212" s="535"/>
      <c r="I212" s="228"/>
      <c r="J212" s="227"/>
      <c r="K212" s="163"/>
      <c r="L212" s="176"/>
      <c r="M212" s="176"/>
      <c r="N212" s="175"/>
    </row>
    <row r="213" spans="1:14">
      <c r="B213" s="506"/>
      <c r="C213" s="507"/>
      <c r="D213" s="505"/>
      <c r="E213" s="228"/>
      <c r="F213" s="227"/>
      <c r="G213" s="1113"/>
      <c r="H213" s="535"/>
      <c r="I213" s="228"/>
      <c r="J213" s="227"/>
      <c r="K213" s="163"/>
      <c r="L213" s="174"/>
      <c r="M213" s="174"/>
      <c r="N213" s="175"/>
    </row>
    <row r="214" spans="1:14">
      <c r="B214" s="506"/>
      <c r="C214" s="507"/>
      <c r="D214" s="505"/>
      <c r="E214" s="227"/>
      <c r="F214" s="227"/>
      <c r="G214" s="535"/>
      <c r="H214" s="535"/>
      <c r="I214" s="228"/>
      <c r="J214" s="227"/>
      <c r="K214" s="227"/>
      <c r="L214" s="176"/>
      <c r="M214" s="176"/>
      <c r="N214" s="175"/>
    </row>
    <row r="215" spans="1:14">
      <c r="B215" s="506"/>
      <c r="C215" s="507"/>
      <c r="D215" s="505"/>
      <c r="E215" s="228"/>
      <c r="F215" s="227"/>
      <c r="G215" s="1113"/>
      <c r="H215" s="535"/>
      <c r="I215" s="228"/>
      <c r="J215" s="227"/>
      <c r="K215" s="163"/>
      <c r="L215" s="174"/>
      <c r="M215" s="174"/>
      <c r="N215" s="175"/>
    </row>
    <row r="216" spans="1:14">
      <c r="B216" s="506"/>
      <c r="C216" s="507"/>
      <c r="D216" s="505"/>
      <c r="E216" s="227"/>
      <c r="F216" s="227"/>
      <c r="G216" s="535"/>
      <c r="H216" s="535"/>
      <c r="I216" s="228"/>
      <c r="J216" s="227"/>
      <c r="K216" s="163"/>
      <c r="L216" s="176"/>
      <c r="M216" s="176"/>
      <c r="N216" s="175"/>
    </row>
    <row r="217" spans="1:14">
      <c r="B217" s="506"/>
      <c r="C217" s="507"/>
      <c r="D217" s="505"/>
      <c r="E217" s="228"/>
      <c r="F217" s="227"/>
      <c r="G217" s="1113"/>
      <c r="H217" s="535"/>
      <c r="I217" s="228"/>
      <c r="J217" s="227"/>
      <c r="K217" s="163"/>
      <c r="L217" s="174"/>
      <c r="M217" s="174"/>
      <c r="N217" s="175"/>
    </row>
    <row r="218" spans="1:14">
      <c r="B218" s="506"/>
      <c r="C218" s="507"/>
      <c r="D218" s="505"/>
      <c r="E218" s="227"/>
      <c r="F218" s="227"/>
      <c r="G218" s="535"/>
      <c r="H218" s="535"/>
      <c r="I218" s="228"/>
      <c r="J218" s="227"/>
      <c r="K218" s="163"/>
      <c r="L218" s="176"/>
      <c r="M218" s="176"/>
      <c r="N218" s="175"/>
    </row>
    <row r="219" spans="1:14">
      <c r="A219" s="507"/>
      <c r="B219" s="506"/>
      <c r="C219" s="505"/>
      <c r="D219" s="505"/>
      <c r="E219" s="227"/>
      <c r="F219" s="227"/>
      <c r="G219" s="229"/>
      <c r="H219" s="227"/>
      <c r="I219" s="228"/>
      <c r="J219" s="227"/>
      <c r="K219" s="227"/>
      <c r="L219" s="174"/>
      <c r="M219" s="174"/>
      <c r="N219" s="175"/>
    </row>
    <row r="220" spans="1:14">
      <c r="A220" s="507"/>
      <c r="B220" s="506"/>
      <c r="C220" s="507"/>
      <c r="D220" s="505"/>
      <c r="E220" s="228"/>
      <c r="F220" s="227"/>
      <c r="G220" s="229"/>
      <c r="H220" s="227"/>
      <c r="I220" s="228"/>
      <c r="J220" s="227"/>
      <c r="K220" s="163"/>
      <c r="L220" s="174"/>
      <c r="M220" s="174"/>
      <c r="N220" s="175"/>
    </row>
    <row r="221" spans="1:14">
      <c r="A221" s="507"/>
      <c r="B221" s="506"/>
      <c r="C221" s="505"/>
      <c r="D221" s="505"/>
      <c r="E221" s="227"/>
      <c r="F221" s="227"/>
      <c r="G221" s="227"/>
      <c r="H221" s="227"/>
      <c r="I221" s="228"/>
      <c r="J221" s="227"/>
      <c r="K221" s="227"/>
      <c r="L221" s="174"/>
      <c r="M221" s="174"/>
      <c r="N221" s="175"/>
    </row>
    <row r="222" spans="1:14">
      <c r="A222" s="507"/>
      <c r="B222" s="506"/>
      <c r="C222" s="507"/>
      <c r="D222" s="505"/>
      <c r="E222" s="227"/>
      <c r="F222" s="227"/>
      <c r="G222" s="227"/>
      <c r="H222" s="227"/>
      <c r="I222" s="228"/>
      <c r="J222" s="227"/>
      <c r="K222" s="163"/>
      <c r="L222" s="176"/>
      <c r="M222" s="176"/>
      <c r="N222" s="175"/>
    </row>
    <row r="223" spans="1:14">
      <c r="A223" s="507"/>
      <c r="B223" s="506"/>
      <c r="C223" s="505"/>
      <c r="D223" s="505"/>
      <c r="E223" s="227"/>
      <c r="F223" s="227"/>
      <c r="G223" s="229"/>
      <c r="H223" s="227"/>
      <c r="I223" s="228"/>
      <c r="J223" s="227"/>
      <c r="K223" s="227"/>
      <c r="L223" s="174"/>
      <c r="M223" s="174"/>
      <c r="N223" s="175"/>
    </row>
    <row r="224" spans="1:14">
      <c r="A224" s="507"/>
      <c r="B224" s="506"/>
      <c r="C224" s="507"/>
      <c r="D224" s="505"/>
      <c r="E224" s="228"/>
      <c r="F224" s="227"/>
      <c r="G224" s="229"/>
      <c r="H224" s="227"/>
      <c r="I224" s="228"/>
      <c r="J224" s="227"/>
      <c r="K224" s="163"/>
      <c r="L224" s="174"/>
      <c r="M224" s="174"/>
      <c r="N224" s="175"/>
    </row>
    <row r="225" spans="1:14">
      <c r="A225" s="507"/>
      <c r="B225" s="506"/>
      <c r="C225" s="505"/>
      <c r="D225" s="505"/>
      <c r="E225" s="227"/>
      <c r="F225" s="227"/>
      <c r="G225" s="227"/>
      <c r="H225" s="227"/>
      <c r="I225" s="228"/>
      <c r="J225" s="227"/>
      <c r="K225" s="227"/>
      <c r="L225" s="174"/>
      <c r="M225" s="174"/>
      <c r="N225" s="175"/>
    </row>
    <row r="226" spans="1:14">
      <c r="A226" s="507"/>
      <c r="B226" s="506"/>
      <c r="C226" s="507"/>
      <c r="D226" s="505"/>
      <c r="E226" s="227"/>
      <c r="F226" s="227"/>
      <c r="G226" s="227"/>
      <c r="H226" s="227"/>
      <c r="I226" s="228"/>
      <c r="J226" s="227"/>
      <c r="K226" s="163"/>
      <c r="L226" s="176"/>
      <c r="M226" s="176"/>
      <c r="N226" s="175"/>
    </row>
    <row r="227" spans="1:14">
      <c r="A227" s="507"/>
      <c r="B227" s="506"/>
      <c r="C227" s="505"/>
      <c r="D227" s="505"/>
      <c r="E227" s="227"/>
      <c r="F227" s="227"/>
      <c r="G227" s="229"/>
      <c r="H227" s="227"/>
      <c r="I227" s="228"/>
      <c r="J227" s="227"/>
      <c r="K227" s="227"/>
      <c r="L227" s="174"/>
      <c r="M227" s="174"/>
      <c r="N227" s="175"/>
    </row>
    <row r="228" spans="1:14">
      <c r="A228" s="507"/>
      <c r="B228" s="506"/>
      <c r="C228" s="507"/>
      <c r="D228" s="505"/>
      <c r="E228" s="228"/>
      <c r="F228" s="227"/>
      <c r="G228" s="229"/>
      <c r="H228" s="227"/>
      <c r="I228" s="228"/>
      <c r="J228" s="227"/>
      <c r="K228" s="163"/>
      <c r="L228" s="174"/>
      <c r="M228" s="174"/>
      <c r="N228" s="175"/>
    </row>
    <row r="229" spans="1:14">
      <c r="A229" s="507"/>
      <c r="B229" s="506"/>
      <c r="C229" s="505"/>
      <c r="D229" s="505"/>
      <c r="E229" s="227"/>
      <c r="F229" s="227"/>
      <c r="G229" s="227"/>
      <c r="H229" s="227"/>
      <c r="I229" s="228"/>
      <c r="J229" s="227"/>
      <c r="K229" s="227"/>
      <c r="L229" s="174"/>
      <c r="M229" s="174"/>
      <c r="N229" s="175"/>
    </row>
    <row r="230" spans="1:14">
      <c r="A230" s="507"/>
      <c r="B230" s="506"/>
      <c r="C230" s="507"/>
      <c r="D230" s="505"/>
      <c r="E230" s="227"/>
      <c r="F230" s="227"/>
      <c r="G230" s="227"/>
      <c r="H230" s="227"/>
      <c r="I230" s="228"/>
      <c r="J230" s="227"/>
      <c r="K230" s="163"/>
      <c r="L230" s="176"/>
      <c r="M230" s="176"/>
      <c r="N230" s="175"/>
    </row>
    <row r="231" spans="1:14">
      <c r="A231" s="507"/>
      <c r="B231" s="506"/>
      <c r="C231" s="505"/>
      <c r="D231" s="505"/>
      <c r="E231" s="227"/>
      <c r="F231" s="227"/>
      <c r="G231" s="229"/>
      <c r="H231" s="227"/>
      <c r="I231" s="228"/>
      <c r="J231" s="227"/>
      <c r="K231" s="227"/>
      <c r="L231" s="174"/>
      <c r="M231" s="174"/>
      <c r="N231" s="175"/>
    </row>
    <row r="232" spans="1:14">
      <c r="A232" s="507"/>
      <c r="B232" s="506"/>
      <c r="C232" s="507"/>
      <c r="D232" s="505"/>
      <c r="E232" s="228"/>
      <c r="F232" s="227"/>
      <c r="G232" s="229"/>
      <c r="H232" s="227"/>
      <c r="I232" s="228"/>
      <c r="J232" s="227"/>
      <c r="K232" s="163"/>
      <c r="L232" s="174"/>
      <c r="M232" s="174"/>
      <c r="N232" s="175"/>
    </row>
    <row r="233" spans="1:14">
      <c r="A233" s="507"/>
      <c r="B233" s="506"/>
      <c r="C233" s="505"/>
      <c r="D233" s="505"/>
      <c r="E233" s="227"/>
      <c r="F233" s="227"/>
      <c r="G233" s="227"/>
      <c r="H233" s="227"/>
      <c r="I233" s="228"/>
      <c r="J233" s="227"/>
      <c r="K233" s="227"/>
      <c r="L233" s="174"/>
      <c r="M233" s="174"/>
      <c r="N233" s="175"/>
    </row>
    <row r="234" spans="1:14">
      <c r="A234" s="227"/>
      <c r="B234" s="228"/>
      <c r="C234" s="92"/>
      <c r="D234" s="92"/>
      <c r="E234" s="227"/>
      <c r="F234" s="227"/>
      <c r="G234" s="227"/>
      <c r="H234" s="227"/>
      <c r="I234" s="228"/>
      <c r="J234" s="227"/>
      <c r="K234" s="163"/>
      <c r="L234" s="176"/>
      <c r="M234" s="176"/>
      <c r="N234" s="175"/>
    </row>
    <row r="235" spans="1:14">
      <c r="A235" s="227"/>
      <c r="B235" s="228"/>
      <c r="C235" s="92"/>
      <c r="D235" s="92"/>
      <c r="E235" s="227"/>
      <c r="F235" s="227"/>
      <c r="G235" s="229"/>
      <c r="H235" s="227"/>
      <c r="I235" s="228"/>
      <c r="J235" s="227"/>
      <c r="K235" s="227"/>
      <c r="L235" s="174"/>
      <c r="M235" s="174"/>
      <c r="N235" s="175"/>
    </row>
    <row r="236" spans="1:14">
      <c r="A236" s="227"/>
      <c r="B236" s="228"/>
      <c r="C236" s="92"/>
      <c r="D236" s="92"/>
      <c r="E236" s="228"/>
      <c r="F236" s="227"/>
      <c r="G236" s="229"/>
      <c r="H236" s="227"/>
      <c r="I236" s="228"/>
      <c r="J236" s="227"/>
      <c r="K236" s="163"/>
      <c r="L236" s="174"/>
      <c r="M236" s="174"/>
      <c r="N236" s="175"/>
    </row>
    <row r="237" spans="1:14">
      <c r="A237" s="227"/>
      <c r="B237" s="228"/>
      <c r="C237" s="92"/>
      <c r="D237" s="92"/>
      <c r="E237" s="227"/>
      <c r="F237" s="227"/>
      <c r="G237" s="227"/>
      <c r="H237" s="227"/>
      <c r="I237" s="228"/>
      <c r="J237" s="227"/>
      <c r="K237" s="227"/>
      <c r="L237" s="174"/>
      <c r="M237" s="174"/>
      <c r="N237" s="175"/>
    </row>
    <row r="238" spans="1:14">
      <c r="A238" s="227"/>
      <c r="B238" s="228"/>
      <c r="C238" s="92"/>
      <c r="D238" s="92"/>
      <c r="E238" s="227"/>
      <c r="F238" s="227"/>
      <c r="G238" s="227"/>
      <c r="H238" s="227"/>
      <c r="I238" s="228"/>
      <c r="J238" s="227"/>
      <c r="K238" s="163"/>
      <c r="L238" s="176"/>
      <c r="M238" s="176"/>
      <c r="N238" s="175"/>
    </row>
    <row r="239" spans="1:14">
      <c r="A239" s="227"/>
      <c r="B239" s="228"/>
      <c r="C239" s="92"/>
      <c r="D239" s="92"/>
      <c r="E239" s="227"/>
      <c r="F239" s="227"/>
      <c r="G239" s="229"/>
      <c r="H239" s="227"/>
      <c r="I239" s="228"/>
      <c r="J239" s="227"/>
      <c r="K239" s="227"/>
      <c r="L239" s="174"/>
      <c r="M239" s="174"/>
      <c r="N239" s="175"/>
    </row>
    <row r="240" spans="1:14">
      <c r="A240" s="227"/>
      <c r="B240" s="228"/>
      <c r="C240" s="92"/>
      <c r="D240" s="92"/>
      <c r="E240" s="228"/>
      <c r="F240" s="227"/>
      <c r="G240" s="229"/>
      <c r="H240" s="227"/>
      <c r="I240" s="228"/>
      <c r="J240" s="227"/>
      <c r="K240" s="163"/>
      <c r="L240" s="174"/>
      <c r="M240" s="174"/>
      <c r="N240" s="175"/>
    </row>
    <row r="241" spans="1:14">
      <c r="A241" s="227"/>
      <c r="B241" s="228"/>
      <c r="C241" s="92"/>
      <c r="D241" s="92"/>
      <c r="E241" s="227"/>
      <c r="F241" s="227"/>
      <c r="G241" s="227"/>
      <c r="H241" s="227"/>
      <c r="I241" s="228"/>
      <c r="J241" s="227"/>
      <c r="K241" s="227"/>
      <c r="L241" s="174"/>
      <c r="M241" s="174"/>
      <c r="N241" s="175"/>
    </row>
    <row r="242" spans="1:14">
      <c r="A242" s="227"/>
      <c r="B242" s="228"/>
      <c r="C242" s="92"/>
      <c r="D242" s="92"/>
      <c r="E242" s="227"/>
      <c r="F242" s="227"/>
      <c r="G242" s="227"/>
      <c r="H242" s="227"/>
      <c r="I242" s="228"/>
      <c r="J242" s="227"/>
      <c r="K242" s="163"/>
      <c r="L242" s="176"/>
      <c r="M242" s="176"/>
      <c r="N242" s="175"/>
    </row>
    <row r="243" spans="1:14">
      <c r="A243" s="227"/>
      <c r="B243" s="228"/>
      <c r="C243" s="92"/>
      <c r="D243" s="92"/>
      <c r="E243" s="227"/>
      <c r="F243" s="227"/>
      <c r="G243" s="229"/>
      <c r="H243" s="227"/>
      <c r="I243" s="228"/>
      <c r="J243" s="227"/>
      <c r="K243" s="227"/>
      <c r="L243" s="174"/>
      <c r="M243" s="174"/>
      <c r="N243" s="175"/>
    </row>
    <row r="244" spans="1:14">
      <c r="A244" s="227"/>
      <c r="B244" s="228"/>
      <c r="C244" s="92"/>
      <c r="D244" s="92"/>
      <c r="E244" s="228"/>
      <c r="F244" s="227"/>
      <c r="G244" s="229"/>
      <c r="H244" s="227"/>
      <c r="I244" s="228"/>
      <c r="J244" s="227"/>
      <c r="K244" s="163"/>
      <c r="L244" s="174"/>
      <c r="M244" s="174"/>
      <c r="N244" s="175"/>
    </row>
    <row r="245" spans="1:14">
      <c r="A245" s="227"/>
      <c r="B245" s="228"/>
      <c r="C245" s="92"/>
      <c r="D245" s="92"/>
      <c r="E245" s="227"/>
      <c r="F245" s="227"/>
      <c r="G245" s="229"/>
      <c r="H245" s="227"/>
      <c r="I245" s="228"/>
      <c r="J245" s="227"/>
      <c r="K245" s="227"/>
      <c r="L245" s="174"/>
      <c r="M245" s="174"/>
      <c r="N245" s="175"/>
    </row>
    <row r="246" spans="1:14">
      <c r="A246" s="227"/>
      <c r="B246" s="228"/>
      <c r="C246" s="92"/>
      <c r="D246" s="92"/>
      <c r="E246" s="228"/>
      <c r="F246" s="227"/>
      <c r="G246" s="229"/>
      <c r="H246" s="227"/>
      <c r="I246" s="228"/>
      <c r="J246" s="227"/>
      <c r="K246" s="163"/>
      <c r="L246" s="174"/>
      <c r="M246" s="174"/>
      <c r="N246" s="175"/>
    </row>
    <row r="247" spans="1:14">
      <c r="A247" s="227"/>
      <c r="B247" s="228"/>
      <c r="C247" s="92"/>
      <c r="D247" s="92"/>
      <c r="E247" s="227"/>
      <c r="F247" s="227"/>
      <c r="G247" s="229"/>
      <c r="H247" s="227"/>
      <c r="I247" s="228"/>
      <c r="J247" s="227"/>
      <c r="K247" s="227"/>
      <c r="L247" s="174"/>
      <c r="M247" s="174"/>
      <c r="N247" s="175"/>
    </row>
    <row r="248" spans="1:14">
      <c r="A248" s="227"/>
      <c r="B248" s="228"/>
      <c r="C248" s="92"/>
      <c r="D248" s="92"/>
      <c r="E248" s="228"/>
      <c r="F248" s="227"/>
      <c r="G248" s="229"/>
      <c r="H248" s="227"/>
      <c r="I248" s="228"/>
      <c r="J248" s="227"/>
      <c r="K248" s="163"/>
      <c r="L248" s="174"/>
      <c r="M248" s="174"/>
      <c r="N248" s="175"/>
    </row>
    <row r="249" spans="1:14">
      <c r="A249" s="227"/>
      <c r="B249" s="228"/>
      <c r="C249" s="92"/>
      <c r="D249" s="92"/>
      <c r="E249" s="227"/>
      <c r="F249" s="227"/>
      <c r="G249" s="227"/>
      <c r="H249" s="227"/>
      <c r="I249" s="228"/>
      <c r="J249" s="227"/>
      <c r="K249" s="227"/>
      <c r="L249" s="174"/>
      <c r="M249" s="174"/>
      <c r="N249" s="175"/>
    </row>
    <row r="250" spans="1:14">
      <c r="A250" s="227"/>
      <c r="B250" s="228"/>
      <c r="C250" s="92"/>
      <c r="D250" s="92"/>
      <c r="E250" s="227"/>
      <c r="F250" s="227"/>
      <c r="G250" s="227"/>
      <c r="H250" s="227"/>
      <c r="I250" s="228"/>
      <c r="J250" s="227"/>
      <c r="K250" s="227"/>
      <c r="L250" s="176"/>
      <c r="M250" s="176"/>
      <c r="N250" s="175"/>
    </row>
    <row r="251" spans="1:14">
      <c r="A251" s="227"/>
      <c r="B251" s="228"/>
      <c r="C251" s="92"/>
      <c r="D251" s="92"/>
      <c r="E251" s="227"/>
      <c r="F251" s="227"/>
      <c r="G251" s="229"/>
      <c r="H251" s="227"/>
      <c r="I251" s="228"/>
      <c r="J251" s="227"/>
      <c r="K251" s="227"/>
      <c r="L251" s="174"/>
      <c r="M251" s="174"/>
      <c r="N251" s="175"/>
    </row>
    <row r="252" spans="1:14">
      <c r="A252" s="227"/>
      <c r="B252" s="228"/>
      <c r="C252" s="92"/>
      <c r="D252" s="92"/>
      <c r="E252" s="228"/>
      <c r="F252" s="227"/>
      <c r="G252" s="229"/>
      <c r="H252" s="227"/>
      <c r="I252" s="228"/>
      <c r="J252" s="227"/>
      <c r="K252" s="163"/>
      <c r="L252" s="174"/>
      <c r="M252" s="174"/>
      <c r="N252" s="175"/>
    </row>
    <row r="253" spans="1:14">
      <c r="A253" s="227"/>
      <c r="B253" s="228"/>
      <c r="C253" s="92"/>
      <c r="D253" s="92"/>
      <c r="E253" s="227"/>
      <c r="F253" s="227"/>
      <c r="G253" s="227"/>
      <c r="H253" s="227"/>
      <c r="I253" s="228"/>
      <c r="J253" s="227"/>
      <c r="K253" s="227"/>
      <c r="L253" s="174"/>
      <c r="M253" s="174"/>
      <c r="N253" s="175"/>
    </row>
    <row r="254" spans="1:14">
      <c r="A254" s="227"/>
      <c r="B254" s="228"/>
      <c r="C254" s="92"/>
      <c r="D254" s="92"/>
      <c r="E254" s="227"/>
      <c r="F254" s="227"/>
      <c r="G254" s="227"/>
      <c r="H254" s="227"/>
      <c r="I254" s="228"/>
      <c r="J254" s="227"/>
      <c r="K254" s="163"/>
      <c r="L254" s="176"/>
      <c r="M254" s="176"/>
      <c r="N254" s="175"/>
    </row>
    <row r="255" spans="1:14">
      <c r="A255" s="227"/>
      <c r="B255" s="228"/>
      <c r="C255" s="92"/>
      <c r="D255" s="92"/>
      <c r="E255" s="227"/>
      <c r="F255" s="227"/>
      <c r="G255" s="229"/>
      <c r="H255" s="227"/>
      <c r="I255" s="228"/>
      <c r="J255" s="227"/>
      <c r="K255" s="227"/>
      <c r="L255" s="174"/>
      <c r="M255" s="174"/>
      <c r="N255" s="175"/>
    </row>
    <row r="256" spans="1:14">
      <c r="A256" s="227"/>
      <c r="B256" s="228"/>
      <c r="C256" s="92"/>
      <c r="D256" s="92"/>
      <c r="E256" s="228"/>
      <c r="F256" s="227"/>
      <c r="G256" s="229"/>
      <c r="H256" s="227"/>
      <c r="I256" s="228"/>
      <c r="J256" s="227"/>
      <c r="K256" s="163"/>
      <c r="L256" s="174"/>
      <c r="M256" s="174"/>
      <c r="N256" s="175"/>
    </row>
    <row r="257" spans="1:14">
      <c r="A257" s="227"/>
      <c r="B257" s="228"/>
      <c r="C257" s="92"/>
      <c r="D257" s="92"/>
      <c r="E257" s="227"/>
      <c r="F257" s="227"/>
      <c r="G257" s="227"/>
      <c r="H257" s="227"/>
      <c r="I257" s="228"/>
      <c r="J257" s="227"/>
      <c r="K257" s="227"/>
      <c r="L257" s="174"/>
      <c r="M257" s="174"/>
      <c r="N257" s="175"/>
    </row>
    <row r="258" spans="1:14">
      <c r="A258" s="227"/>
      <c r="B258" s="228"/>
      <c r="C258" s="92"/>
      <c r="D258" s="92"/>
      <c r="E258" s="227"/>
      <c r="F258" s="227"/>
      <c r="G258" s="227"/>
      <c r="H258" s="227"/>
      <c r="I258" s="228"/>
      <c r="J258" s="227"/>
      <c r="K258" s="163"/>
      <c r="L258" s="176"/>
      <c r="M258" s="176"/>
      <c r="N258" s="175"/>
    </row>
    <row r="259" spans="1:14">
      <c r="A259" s="227"/>
      <c r="B259" s="228"/>
      <c r="C259" s="92"/>
      <c r="D259" s="92"/>
      <c r="E259" s="227"/>
      <c r="F259" s="227"/>
      <c r="G259" s="229"/>
      <c r="H259" s="227"/>
      <c r="I259" s="228"/>
      <c r="J259" s="227"/>
      <c r="K259" s="227"/>
      <c r="L259" s="174"/>
      <c r="M259" s="174"/>
      <c r="N259" s="175"/>
    </row>
  </sheetData>
  <mergeCells count="19">
    <mergeCell ref="S29:S30"/>
    <mergeCell ref="T29:T30"/>
    <mergeCell ref="S9:S11"/>
    <mergeCell ref="T9:T11"/>
    <mergeCell ref="S14:S19"/>
    <mergeCell ref="T14:T19"/>
    <mergeCell ref="T20:T22"/>
    <mergeCell ref="S7:S8"/>
    <mergeCell ref="T7:T8"/>
    <mergeCell ref="U5:U6"/>
    <mergeCell ref="V5:V6"/>
    <mergeCell ref="S26:S27"/>
    <mergeCell ref="T26:T27"/>
    <mergeCell ref="AG5:AH5"/>
    <mergeCell ref="W5:X5"/>
    <mergeCell ref="Y5:Z5"/>
    <mergeCell ref="AA5:AB5"/>
    <mergeCell ref="AC5:AD5"/>
    <mergeCell ref="AE5:AF5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83"/>
  <sheetViews>
    <sheetView topLeftCell="L142" workbookViewId="0">
      <selection activeCell="V121" sqref="V121"/>
    </sheetView>
  </sheetViews>
  <sheetFormatPr defaultRowHeight="14"/>
  <cols>
    <col min="1" max="1" width="24.36328125" style="12" customWidth="1"/>
    <col min="2" max="3" width="7.54296875" style="14" customWidth="1"/>
    <col min="5" max="5" width="18.6328125" customWidth="1"/>
    <col min="6" max="6" width="9.08984375" customWidth="1"/>
    <col min="8" max="8" width="20" customWidth="1"/>
    <col min="15" max="15" width="21.81640625" customWidth="1"/>
    <col min="19" max="19" width="12.7265625" customWidth="1"/>
    <col min="20" max="20" width="11.7265625" customWidth="1"/>
  </cols>
  <sheetData>
    <row r="1" spans="1:7" ht="15.5">
      <c r="A1" s="2240" t="s">
        <v>48</v>
      </c>
      <c r="B1" s="2240"/>
      <c r="C1" s="2240"/>
      <c r="D1" s="2240"/>
      <c r="E1" s="2240"/>
      <c r="F1" s="2240"/>
      <c r="G1" s="2240"/>
    </row>
    <row r="2" spans="1:7">
      <c r="A2" s="1" t="s">
        <v>9</v>
      </c>
      <c r="B2" s="80" t="s">
        <v>47</v>
      </c>
      <c r="C2" s="80" t="s">
        <v>15</v>
      </c>
      <c r="D2" s="1"/>
      <c r="E2" s="1"/>
      <c r="F2" s="80" t="s">
        <v>47</v>
      </c>
      <c r="G2" s="80" t="s">
        <v>15</v>
      </c>
    </row>
    <row r="3" spans="1:7">
      <c r="A3" s="10" t="s">
        <v>18</v>
      </c>
      <c r="B3" s="156">
        <v>1990</v>
      </c>
      <c r="C3" s="11">
        <v>773</v>
      </c>
      <c r="E3" s="30" t="s">
        <v>22</v>
      </c>
      <c r="F3" s="156">
        <v>1991</v>
      </c>
      <c r="G3" s="11">
        <v>442</v>
      </c>
    </row>
    <row r="4" spans="1:7">
      <c r="B4" s="156">
        <v>1991</v>
      </c>
      <c r="C4" s="11">
        <v>1078</v>
      </c>
      <c r="E4" s="12"/>
      <c r="F4" s="156">
        <v>1992</v>
      </c>
      <c r="G4" s="11">
        <v>288</v>
      </c>
    </row>
    <row r="5" spans="1:7">
      <c r="B5" s="156">
        <v>1992</v>
      </c>
      <c r="C5" s="11">
        <v>931</v>
      </c>
      <c r="E5" s="12"/>
      <c r="F5" s="156">
        <v>1993</v>
      </c>
      <c r="G5" s="13">
        <v>504</v>
      </c>
    </row>
    <row r="6" spans="1:7">
      <c r="B6" s="156">
        <v>1993</v>
      </c>
      <c r="C6" s="13">
        <v>1253</v>
      </c>
      <c r="E6" s="12"/>
      <c r="F6" s="156">
        <v>1994</v>
      </c>
      <c r="G6" s="13">
        <v>382</v>
      </c>
    </row>
    <row r="7" spans="1:7">
      <c r="B7" s="156">
        <v>1994</v>
      </c>
      <c r="C7" s="13">
        <v>1472</v>
      </c>
      <c r="E7" s="12"/>
      <c r="F7" s="156">
        <v>1995</v>
      </c>
      <c r="G7" s="13">
        <v>474</v>
      </c>
    </row>
    <row r="8" spans="1:7">
      <c r="B8" s="156">
        <v>1995</v>
      </c>
      <c r="C8" s="13">
        <v>1932</v>
      </c>
      <c r="E8" s="12"/>
      <c r="F8" s="156">
        <v>1996</v>
      </c>
      <c r="G8" s="13">
        <v>577.75</v>
      </c>
    </row>
    <row r="9" spans="1:7">
      <c r="B9" s="156">
        <v>1996</v>
      </c>
      <c r="C9" s="13">
        <v>1367.4375</v>
      </c>
      <c r="E9" s="12"/>
      <c r="F9" s="156">
        <v>1997</v>
      </c>
      <c r="G9" s="13">
        <v>392.83071428571424</v>
      </c>
    </row>
    <row r="10" spans="1:7">
      <c r="B10" s="156">
        <v>1997</v>
      </c>
      <c r="C10" s="13">
        <v>798.58375000000012</v>
      </c>
      <c r="E10" s="12"/>
      <c r="F10" s="156">
        <v>1998</v>
      </c>
      <c r="G10" s="13">
        <v>388</v>
      </c>
    </row>
    <row r="11" spans="1:7">
      <c r="B11" s="156">
        <v>1998</v>
      </c>
      <c r="C11" s="13">
        <v>525</v>
      </c>
      <c r="E11" s="12"/>
      <c r="F11" s="156">
        <v>1999</v>
      </c>
      <c r="G11" s="13">
        <v>224</v>
      </c>
    </row>
    <row r="12" spans="1:7">
      <c r="B12" s="156">
        <v>1999</v>
      </c>
      <c r="C12" s="13">
        <v>521</v>
      </c>
      <c r="E12" s="12"/>
      <c r="F12" s="156">
        <v>2000</v>
      </c>
      <c r="G12" s="13">
        <v>431</v>
      </c>
    </row>
    <row r="13" spans="1:7">
      <c r="B13" s="156">
        <v>2000</v>
      </c>
      <c r="C13" s="13">
        <v>1483</v>
      </c>
      <c r="E13" s="12"/>
      <c r="F13" s="156">
        <v>2001</v>
      </c>
      <c r="G13" s="13">
        <v>401</v>
      </c>
    </row>
    <row r="14" spans="1:7">
      <c r="B14" s="156">
        <v>2001</v>
      </c>
      <c r="C14" s="13">
        <v>974</v>
      </c>
      <c r="E14" s="12"/>
      <c r="F14" s="156">
        <v>2002</v>
      </c>
      <c r="G14" s="13">
        <v>289</v>
      </c>
    </row>
    <row r="15" spans="1:7">
      <c r="B15" s="156">
        <v>2002</v>
      </c>
      <c r="C15" s="13">
        <v>4314</v>
      </c>
      <c r="F15" s="156">
        <v>2003</v>
      </c>
      <c r="G15" s="13">
        <v>268</v>
      </c>
    </row>
    <row r="16" spans="1:7">
      <c r="B16" s="156">
        <v>2003</v>
      </c>
      <c r="C16" s="14">
        <v>1757</v>
      </c>
      <c r="F16" s="156">
        <v>2004</v>
      </c>
      <c r="G16" s="13">
        <v>268</v>
      </c>
    </row>
    <row r="17" spans="1:7">
      <c r="B17" s="156">
        <v>2004</v>
      </c>
      <c r="C17" s="14">
        <v>444</v>
      </c>
      <c r="F17" s="156">
        <v>2005</v>
      </c>
      <c r="G17" s="13">
        <v>186</v>
      </c>
    </row>
    <row r="18" spans="1:7">
      <c r="B18" s="156">
        <v>2005</v>
      </c>
      <c r="C18" s="14">
        <v>1100</v>
      </c>
      <c r="F18" s="156">
        <v>2006</v>
      </c>
      <c r="G18" s="13">
        <v>158</v>
      </c>
    </row>
    <row r="19" spans="1:7">
      <c r="B19" s="156">
        <v>2006</v>
      </c>
      <c r="C19" s="14">
        <v>1570</v>
      </c>
      <c r="F19" s="156">
        <v>2007</v>
      </c>
      <c r="G19" s="13">
        <v>222</v>
      </c>
    </row>
    <row r="20" spans="1:7">
      <c r="B20" s="156">
        <v>2007</v>
      </c>
      <c r="C20" s="14">
        <v>747</v>
      </c>
      <c r="F20" s="156">
        <v>2008</v>
      </c>
      <c r="G20" s="13">
        <v>233</v>
      </c>
    </row>
    <row r="21" spans="1:7">
      <c r="B21" s="156">
        <v>2008</v>
      </c>
      <c r="C21" s="14">
        <v>1093</v>
      </c>
      <c r="F21" s="156">
        <v>2009</v>
      </c>
      <c r="G21" s="13">
        <v>291</v>
      </c>
    </row>
    <row r="22" spans="1:7">
      <c r="B22" s="156">
        <v>2009</v>
      </c>
      <c r="C22" s="14">
        <v>322</v>
      </c>
      <c r="F22" s="156">
        <v>2010</v>
      </c>
      <c r="G22" s="13">
        <v>287</v>
      </c>
    </row>
    <row r="23" spans="1:7">
      <c r="B23" s="156">
        <v>2010</v>
      </c>
      <c r="C23" s="14">
        <v>1296</v>
      </c>
      <c r="F23" s="156">
        <v>2011</v>
      </c>
      <c r="G23" s="13">
        <v>158</v>
      </c>
    </row>
    <row r="24" spans="1:7">
      <c r="B24" s="156">
        <v>2011</v>
      </c>
      <c r="C24" s="14">
        <v>760</v>
      </c>
      <c r="F24" s="156">
        <v>2012</v>
      </c>
      <c r="G24" s="13">
        <v>165</v>
      </c>
    </row>
    <row r="25" spans="1:7">
      <c r="B25" s="156">
        <v>2012</v>
      </c>
      <c r="C25" s="14">
        <v>1024</v>
      </c>
      <c r="F25" s="156">
        <v>2013</v>
      </c>
      <c r="G25" s="13">
        <v>161</v>
      </c>
    </row>
    <row r="26" spans="1:7">
      <c r="B26" s="156">
        <v>2013</v>
      </c>
      <c r="C26" s="14">
        <v>800</v>
      </c>
      <c r="F26" s="156">
        <v>2014</v>
      </c>
      <c r="G26" s="13">
        <v>307</v>
      </c>
    </row>
    <row r="27" spans="1:7">
      <c r="B27" s="156">
        <v>2014</v>
      </c>
      <c r="C27" s="14">
        <v>384</v>
      </c>
      <c r="F27" s="156">
        <v>2015</v>
      </c>
      <c r="G27" s="13">
        <v>377</v>
      </c>
    </row>
    <row r="28" spans="1:7">
      <c r="B28" s="156">
        <v>2015</v>
      </c>
      <c r="C28" s="14">
        <v>557</v>
      </c>
      <c r="F28" s="156"/>
    </row>
    <row r="29" spans="1:7">
      <c r="B29" s="156"/>
      <c r="F29" s="156"/>
    </row>
    <row r="30" spans="1:7">
      <c r="A30" s="10" t="s">
        <v>20</v>
      </c>
      <c r="B30" s="262">
        <v>1992</v>
      </c>
      <c r="C30" s="11">
        <v>423</v>
      </c>
      <c r="E30" s="30" t="s">
        <v>23</v>
      </c>
      <c r="F30" s="156">
        <v>1991</v>
      </c>
      <c r="G30" s="11">
        <v>381</v>
      </c>
    </row>
    <row r="31" spans="1:7">
      <c r="B31" s="262">
        <v>1993</v>
      </c>
      <c r="C31" s="13">
        <v>528</v>
      </c>
      <c r="E31" s="12"/>
      <c r="F31" s="156">
        <v>1992</v>
      </c>
      <c r="G31" s="11">
        <v>282</v>
      </c>
    </row>
    <row r="32" spans="1:7">
      <c r="B32" s="262">
        <v>1994</v>
      </c>
      <c r="C32" s="11">
        <v>505</v>
      </c>
      <c r="E32" s="12"/>
      <c r="F32" s="156">
        <v>1993</v>
      </c>
      <c r="G32" s="13">
        <v>451</v>
      </c>
    </row>
    <row r="33" spans="1:7">
      <c r="B33" s="262">
        <v>1995</v>
      </c>
      <c r="C33" s="13">
        <v>584</v>
      </c>
      <c r="E33" s="12"/>
      <c r="F33" s="156">
        <v>1994</v>
      </c>
      <c r="G33" s="13">
        <v>356</v>
      </c>
    </row>
    <row r="34" spans="1:7">
      <c r="B34" s="262">
        <v>1996</v>
      </c>
      <c r="C34" s="13">
        <v>807</v>
      </c>
      <c r="E34" s="12"/>
      <c r="F34" s="156">
        <v>1995</v>
      </c>
      <c r="G34" s="13">
        <v>502</v>
      </c>
    </row>
    <row r="35" spans="1:7">
      <c r="B35" s="262">
        <v>1997</v>
      </c>
      <c r="C35" s="13">
        <v>536</v>
      </c>
      <c r="E35" s="12"/>
      <c r="F35" s="156">
        <v>1996</v>
      </c>
      <c r="G35" s="13">
        <v>589.25</v>
      </c>
    </row>
    <row r="36" spans="1:7">
      <c r="B36" s="262">
        <v>1998</v>
      </c>
      <c r="C36" s="13">
        <v>452</v>
      </c>
      <c r="E36" s="12"/>
      <c r="F36" s="156">
        <v>1997</v>
      </c>
      <c r="G36" s="13">
        <v>365.20642857142866</v>
      </c>
    </row>
    <row r="37" spans="1:7">
      <c r="B37" s="262">
        <v>1999</v>
      </c>
      <c r="C37" s="13">
        <v>256</v>
      </c>
      <c r="E37" s="12"/>
      <c r="F37" s="156">
        <v>1998</v>
      </c>
      <c r="G37" s="13">
        <v>372</v>
      </c>
    </row>
    <row r="38" spans="1:7">
      <c r="B38" s="262">
        <v>2000</v>
      </c>
      <c r="C38" s="13">
        <v>536</v>
      </c>
      <c r="E38" s="12"/>
      <c r="F38" s="156">
        <v>1999</v>
      </c>
      <c r="G38" s="13">
        <v>220</v>
      </c>
    </row>
    <row r="39" spans="1:7">
      <c r="B39" s="262">
        <v>2001</v>
      </c>
      <c r="C39" s="13">
        <v>417</v>
      </c>
      <c r="E39" s="12"/>
      <c r="F39" s="156">
        <v>2000</v>
      </c>
      <c r="G39" s="13">
        <v>443</v>
      </c>
    </row>
    <row r="40" spans="1:7">
      <c r="B40" s="262">
        <v>2002</v>
      </c>
      <c r="C40" s="14">
        <v>371</v>
      </c>
      <c r="E40" s="12"/>
      <c r="F40" s="156">
        <v>2001</v>
      </c>
      <c r="G40" s="13">
        <v>395</v>
      </c>
    </row>
    <row r="41" spans="1:7">
      <c r="B41" s="262">
        <v>2003</v>
      </c>
      <c r="C41" s="14">
        <v>416</v>
      </c>
      <c r="E41" s="12"/>
      <c r="F41" s="156">
        <v>2002</v>
      </c>
      <c r="G41" s="13">
        <v>288</v>
      </c>
    </row>
    <row r="42" spans="1:7">
      <c r="B42" s="262">
        <v>2004</v>
      </c>
      <c r="C42" s="14">
        <v>259</v>
      </c>
      <c r="F42" s="156">
        <v>2003</v>
      </c>
      <c r="G42" s="13">
        <v>271</v>
      </c>
    </row>
    <row r="43" spans="1:7">
      <c r="A43" s="10" t="s">
        <v>119</v>
      </c>
      <c r="B43" s="262">
        <v>2005</v>
      </c>
      <c r="C43" s="14">
        <v>375</v>
      </c>
      <c r="F43" s="156">
        <v>2004</v>
      </c>
      <c r="G43" s="13">
        <v>249</v>
      </c>
    </row>
    <row r="44" spans="1:7">
      <c r="B44" s="262">
        <v>2006</v>
      </c>
      <c r="C44" s="14">
        <v>435</v>
      </c>
      <c r="F44" s="156">
        <v>2005</v>
      </c>
      <c r="G44" s="13">
        <v>198</v>
      </c>
    </row>
    <row r="45" spans="1:7">
      <c r="B45" s="262">
        <v>2007</v>
      </c>
      <c r="C45" s="14">
        <v>314</v>
      </c>
      <c r="F45" s="156">
        <v>2006</v>
      </c>
      <c r="G45" s="13">
        <v>150</v>
      </c>
    </row>
    <row r="46" spans="1:7">
      <c r="B46" s="262">
        <v>2008</v>
      </c>
      <c r="F46" s="156">
        <v>2007</v>
      </c>
      <c r="G46" s="13">
        <v>233</v>
      </c>
    </row>
    <row r="47" spans="1:7">
      <c r="B47" s="262">
        <v>2009</v>
      </c>
      <c r="F47" s="156"/>
    </row>
    <row r="48" spans="1:7">
      <c r="B48" s="262">
        <v>2010</v>
      </c>
      <c r="F48" s="156"/>
    </row>
    <row r="49" spans="1:7">
      <c r="B49"/>
      <c r="F49" s="156"/>
    </row>
    <row r="50" spans="1:7">
      <c r="B50"/>
      <c r="F50" s="37"/>
    </row>
    <row r="51" spans="1:7">
      <c r="A51" s="16" t="s">
        <v>17</v>
      </c>
      <c r="B51" s="156">
        <v>1990</v>
      </c>
      <c r="C51" s="11">
        <v>1121</v>
      </c>
      <c r="E51" s="30" t="s">
        <v>24</v>
      </c>
      <c r="F51" s="156">
        <v>1991</v>
      </c>
      <c r="G51" s="11">
        <v>341</v>
      </c>
    </row>
    <row r="52" spans="1:7">
      <c r="A52" s="15"/>
      <c r="B52" s="156">
        <v>1991</v>
      </c>
      <c r="C52" s="11">
        <v>1590</v>
      </c>
      <c r="E52" s="12"/>
      <c r="F52" s="156">
        <v>1992</v>
      </c>
      <c r="G52" s="11">
        <v>228</v>
      </c>
    </row>
    <row r="53" spans="1:7">
      <c r="A53" s="15"/>
      <c r="B53" s="156">
        <v>1992</v>
      </c>
      <c r="C53" s="11">
        <v>2941</v>
      </c>
      <c r="E53" s="12"/>
      <c r="F53" s="156">
        <v>1993</v>
      </c>
      <c r="G53" s="13">
        <v>332</v>
      </c>
    </row>
    <row r="54" spans="1:7">
      <c r="A54" s="15"/>
      <c r="B54" s="156">
        <v>1993</v>
      </c>
      <c r="C54" s="13">
        <v>1224</v>
      </c>
      <c r="E54" s="12"/>
      <c r="F54" s="156">
        <v>1994</v>
      </c>
      <c r="G54" s="13">
        <v>308</v>
      </c>
    </row>
    <row r="55" spans="1:7">
      <c r="A55" s="15"/>
      <c r="B55" s="156">
        <v>1994</v>
      </c>
      <c r="C55" s="13">
        <v>963</v>
      </c>
      <c r="E55" s="12"/>
      <c r="F55" s="156">
        <v>1995</v>
      </c>
      <c r="G55" s="13">
        <v>503</v>
      </c>
    </row>
    <row r="56" spans="1:7">
      <c r="A56" s="15"/>
      <c r="B56" s="156">
        <v>1995</v>
      </c>
      <c r="C56" s="13">
        <v>476</v>
      </c>
      <c r="E56" s="12"/>
      <c r="F56" s="156">
        <v>1996</v>
      </c>
      <c r="G56" s="13">
        <v>560.9375</v>
      </c>
    </row>
    <row r="57" spans="1:7">
      <c r="A57" s="15"/>
      <c r="B57" s="156">
        <v>1996</v>
      </c>
      <c r="C57" s="13">
        <v>618.3125</v>
      </c>
      <c r="E57" s="12"/>
      <c r="F57" s="156">
        <v>1997</v>
      </c>
      <c r="G57" s="13">
        <v>340.9935714285715</v>
      </c>
    </row>
    <row r="58" spans="1:7">
      <c r="A58" s="15"/>
      <c r="B58" s="156">
        <v>1997</v>
      </c>
      <c r="C58" s="13">
        <v>419.54062500000003</v>
      </c>
      <c r="E58" s="12"/>
      <c r="F58" s="156">
        <v>1998</v>
      </c>
      <c r="G58" s="13">
        <v>342</v>
      </c>
    </row>
    <row r="59" spans="1:7">
      <c r="A59" s="15"/>
      <c r="B59" s="156">
        <v>1998</v>
      </c>
      <c r="C59" s="13">
        <v>536</v>
      </c>
      <c r="E59" s="12"/>
      <c r="F59" s="156">
        <v>1999</v>
      </c>
      <c r="G59" s="13">
        <v>231</v>
      </c>
    </row>
    <row r="60" spans="1:7">
      <c r="A60" s="15"/>
      <c r="B60" s="156">
        <v>1999</v>
      </c>
      <c r="C60" s="13">
        <v>192</v>
      </c>
      <c r="E60" s="12"/>
      <c r="F60" s="156">
        <v>2000</v>
      </c>
      <c r="G60" s="13">
        <v>483</v>
      </c>
    </row>
    <row r="61" spans="1:7">
      <c r="A61" s="15"/>
      <c r="B61" s="156">
        <v>2000</v>
      </c>
      <c r="C61" s="13">
        <v>803</v>
      </c>
      <c r="E61" s="12"/>
      <c r="F61" s="156">
        <v>2001</v>
      </c>
      <c r="G61" s="13">
        <v>390</v>
      </c>
    </row>
    <row r="62" spans="1:7">
      <c r="A62" s="15"/>
      <c r="B62" s="156">
        <v>2001</v>
      </c>
      <c r="C62" s="13">
        <v>486</v>
      </c>
      <c r="E62" s="12"/>
      <c r="F62" s="156">
        <v>2002</v>
      </c>
      <c r="G62" s="13">
        <v>268</v>
      </c>
    </row>
    <row r="63" spans="1:7">
      <c r="A63" s="15"/>
      <c r="B63" s="156">
        <v>2002</v>
      </c>
      <c r="C63" s="13">
        <v>686</v>
      </c>
      <c r="F63" s="156">
        <v>2003</v>
      </c>
      <c r="G63" s="13">
        <v>259</v>
      </c>
    </row>
    <row r="64" spans="1:7">
      <c r="B64" s="156">
        <v>2003</v>
      </c>
      <c r="C64" s="14">
        <v>764</v>
      </c>
      <c r="F64" s="156">
        <v>2004</v>
      </c>
      <c r="G64" s="13">
        <v>224</v>
      </c>
    </row>
    <row r="65" spans="1:7">
      <c r="B65" s="156">
        <v>2004</v>
      </c>
      <c r="C65" s="14">
        <v>385</v>
      </c>
      <c r="F65" s="156">
        <v>2005</v>
      </c>
      <c r="G65" s="13">
        <v>210</v>
      </c>
    </row>
    <row r="66" spans="1:7">
      <c r="B66" s="156">
        <v>2005</v>
      </c>
      <c r="C66" s="14">
        <v>481</v>
      </c>
      <c r="F66" s="156">
        <v>2006</v>
      </c>
      <c r="G66" s="13">
        <v>151</v>
      </c>
    </row>
    <row r="67" spans="1:7">
      <c r="B67" s="156">
        <v>2006</v>
      </c>
      <c r="C67" s="14">
        <v>419</v>
      </c>
      <c r="F67" s="156">
        <v>2007</v>
      </c>
      <c r="G67" s="13">
        <v>232</v>
      </c>
    </row>
    <row r="68" spans="1:7">
      <c r="B68" s="156">
        <v>2007</v>
      </c>
      <c r="C68" s="14">
        <v>410</v>
      </c>
      <c r="F68" s="156">
        <v>2008</v>
      </c>
      <c r="G68" s="13">
        <v>230</v>
      </c>
    </row>
    <row r="69" spans="1:7">
      <c r="B69" s="156">
        <v>2008</v>
      </c>
      <c r="C69" s="14">
        <v>671</v>
      </c>
      <c r="F69" s="156">
        <v>2009</v>
      </c>
      <c r="G69" s="13">
        <v>244</v>
      </c>
    </row>
    <row r="70" spans="1:7">
      <c r="B70" s="156">
        <v>2009</v>
      </c>
      <c r="C70" s="14">
        <v>1018</v>
      </c>
      <c r="F70" s="156">
        <v>2010</v>
      </c>
      <c r="G70" s="13">
        <v>222</v>
      </c>
    </row>
    <row r="71" spans="1:7">
      <c r="B71" s="156">
        <v>2010</v>
      </c>
      <c r="C71" s="14">
        <v>569</v>
      </c>
      <c r="F71" s="156">
        <v>2011</v>
      </c>
      <c r="G71" s="13">
        <v>186</v>
      </c>
    </row>
    <row r="72" spans="1:7">
      <c r="B72" s="156">
        <v>2011</v>
      </c>
      <c r="C72" s="14">
        <v>433</v>
      </c>
      <c r="F72" s="156">
        <v>2012</v>
      </c>
      <c r="G72" s="13">
        <v>101.8</v>
      </c>
    </row>
    <row r="73" spans="1:7">
      <c r="B73" s="156">
        <v>2012</v>
      </c>
      <c r="C73" s="14">
        <v>445</v>
      </c>
      <c r="F73" s="156">
        <v>2013</v>
      </c>
      <c r="G73" s="13">
        <v>144</v>
      </c>
    </row>
    <row r="74" spans="1:7">
      <c r="B74" s="156">
        <v>2013</v>
      </c>
      <c r="C74" s="14">
        <v>443</v>
      </c>
      <c r="F74" s="263">
        <v>2014</v>
      </c>
      <c r="G74" s="13">
        <v>274</v>
      </c>
    </row>
    <row r="75" spans="1:7">
      <c r="B75" s="156">
        <v>2014</v>
      </c>
      <c r="C75" s="14">
        <v>318</v>
      </c>
      <c r="F75" s="263">
        <v>2015</v>
      </c>
      <c r="G75" s="13">
        <v>352</v>
      </c>
    </row>
    <row r="76" spans="1:7">
      <c r="B76" s="156">
        <v>2015</v>
      </c>
      <c r="C76" s="14">
        <v>608</v>
      </c>
    </row>
    <row r="77" spans="1:7">
      <c r="B77" s="156"/>
    </row>
    <row r="78" spans="1:7" ht="15.5">
      <c r="A78" s="2240" t="s">
        <v>48</v>
      </c>
      <c r="B78" s="2240"/>
      <c r="C78" s="2240"/>
      <c r="D78" s="2240"/>
      <c r="E78" s="2240"/>
      <c r="F78" s="2240"/>
      <c r="G78" s="2240"/>
    </row>
    <row r="79" spans="1:7">
      <c r="B79" s="80" t="s">
        <v>47</v>
      </c>
      <c r="C79" s="80" t="s">
        <v>15</v>
      </c>
      <c r="F79" s="80" t="s">
        <v>47</v>
      </c>
      <c r="G79" s="80" t="s">
        <v>15</v>
      </c>
    </row>
    <row r="80" spans="1:7">
      <c r="A80" s="10" t="s">
        <v>16</v>
      </c>
      <c r="B80" s="156">
        <v>1990</v>
      </c>
      <c r="C80" s="13"/>
      <c r="E80" s="10" t="s">
        <v>26</v>
      </c>
      <c r="F80" s="156">
        <v>1991</v>
      </c>
      <c r="G80" s="11">
        <v>589</v>
      </c>
    </row>
    <row r="81" spans="2:7">
      <c r="B81" s="156">
        <v>1991</v>
      </c>
      <c r="C81" s="13">
        <f t="shared" ref="C81:C92" si="0">(G3+G30+G51)/3</f>
        <v>388</v>
      </c>
      <c r="E81" s="12"/>
      <c r="F81" s="156">
        <v>1992</v>
      </c>
      <c r="G81" s="11">
        <v>325</v>
      </c>
    </row>
    <row r="82" spans="2:7">
      <c r="B82" s="156">
        <v>1992</v>
      </c>
      <c r="C82" s="13">
        <f t="shared" si="0"/>
        <v>266</v>
      </c>
      <c r="E82" s="12"/>
      <c r="F82" s="156">
        <v>1993</v>
      </c>
      <c r="G82" s="13">
        <v>431</v>
      </c>
    </row>
    <row r="83" spans="2:7">
      <c r="B83" s="156">
        <v>1993</v>
      </c>
      <c r="C83" s="13">
        <f t="shared" si="0"/>
        <v>429</v>
      </c>
      <c r="E83" s="12"/>
      <c r="F83" s="156">
        <v>1994</v>
      </c>
      <c r="G83" s="13">
        <v>351</v>
      </c>
    </row>
    <row r="84" spans="2:7">
      <c r="B84" s="156">
        <v>1994</v>
      </c>
      <c r="C84" s="13">
        <f t="shared" si="0"/>
        <v>348.66666666666669</v>
      </c>
      <c r="E84" s="12"/>
      <c r="F84" s="156">
        <v>1995</v>
      </c>
      <c r="G84" s="13">
        <v>491</v>
      </c>
    </row>
    <row r="85" spans="2:7">
      <c r="B85" s="156">
        <v>1995</v>
      </c>
      <c r="C85" s="13">
        <f t="shared" si="0"/>
        <v>493</v>
      </c>
      <c r="E85" s="12"/>
      <c r="F85" s="156">
        <v>1996</v>
      </c>
      <c r="G85" s="13">
        <v>579.375</v>
      </c>
    </row>
    <row r="86" spans="2:7">
      <c r="B86" s="156">
        <v>1996</v>
      </c>
      <c r="C86" s="13">
        <f t="shared" si="0"/>
        <v>575.97916666666663</v>
      </c>
      <c r="E86" s="12"/>
      <c r="F86" s="156">
        <v>1997</v>
      </c>
      <c r="G86" s="13">
        <v>520.40125</v>
      </c>
    </row>
    <row r="87" spans="2:7">
      <c r="B87" s="156">
        <v>1997</v>
      </c>
      <c r="C87" s="13">
        <f t="shared" si="0"/>
        <v>366.34357142857152</v>
      </c>
      <c r="E87" s="12"/>
      <c r="F87" s="156">
        <v>1998</v>
      </c>
      <c r="G87" s="13">
        <v>405</v>
      </c>
    </row>
    <row r="88" spans="2:7">
      <c r="B88" s="156">
        <v>1998</v>
      </c>
      <c r="C88" s="13">
        <f t="shared" si="0"/>
        <v>367.33333333333331</v>
      </c>
      <c r="E88" s="12"/>
      <c r="F88" s="156">
        <v>1999</v>
      </c>
      <c r="G88" s="13">
        <v>226</v>
      </c>
    </row>
    <row r="89" spans="2:7">
      <c r="B89" s="156">
        <v>1999</v>
      </c>
      <c r="C89" s="13">
        <f t="shared" si="0"/>
        <v>225</v>
      </c>
      <c r="E89" s="12"/>
      <c r="F89" s="156">
        <v>2000</v>
      </c>
      <c r="G89" s="13">
        <v>437</v>
      </c>
    </row>
    <row r="90" spans="2:7">
      <c r="B90" s="156">
        <v>2000</v>
      </c>
      <c r="C90" s="13">
        <f t="shared" si="0"/>
        <v>452.33333333333331</v>
      </c>
      <c r="E90" s="12"/>
      <c r="F90" s="156">
        <v>2001</v>
      </c>
      <c r="G90" s="13">
        <v>388</v>
      </c>
    </row>
    <row r="91" spans="2:7">
      <c r="B91" s="156">
        <v>2001</v>
      </c>
      <c r="C91" s="13">
        <f t="shared" si="0"/>
        <v>395.33333333333331</v>
      </c>
      <c r="E91" s="12"/>
      <c r="F91" s="156">
        <v>2002</v>
      </c>
      <c r="G91" s="13">
        <v>280</v>
      </c>
    </row>
    <row r="92" spans="2:7">
      <c r="B92" s="156">
        <v>2002</v>
      </c>
      <c r="C92" s="13">
        <f t="shared" si="0"/>
        <v>281.66666666666669</v>
      </c>
      <c r="F92" s="156">
        <v>2003</v>
      </c>
      <c r="G92" s="13">
        <v>268</v>
      </c>
    </row>
    <row r="93" spans="2:7">
      <c r="B93" s="156">
        <v>2003</v>
      </c>
      <c r="C93" s="14">
        <v>268</v>
      </c>
      <c r="F93" s="156">
        <v>2004</v>
      </c>
      <c r="G93" s="13">
        <v>247</v>
      </c>
    </row>
    <row r="94" spans="2:7">
      <c r="B94" s="156">
        <v>2004</v>
      </c>
      <c r="C94" s="14">
        <v>247</v>
      </c>
      <c r="F94" s="156">
        <v>2005</v>
      </c>
      <c r="G94" s="13">
        <v>233</v>
      </c>
    </row>
    <row r="95" spans="2:7">
      <c r="B95" s="156">
        <v>2005</v>
      </c>
      <c r="C95" s="14">
        <v>207</v>
      </c>
      <c r="F95" s="156">
        <v>2006</v>
      </c>
      <c r="G95" s="13">
        <v>196</v>
      </c>
    </row>
    <row r="96" spans="2:7">
      <c r="B96" s="156">
        <v>2006</v>
      </c>
      <c r="C96" s="14">
        <v>153</v>
      </c>
      <c r="F96" s="156">
        <v>2007</v>
      </c>
      <c r="G96" s="13">
        <v>261</v>
      </c>
    </row>
    <row r="97" spans="1:7">
      <c r="B97" s="156">
        <v>2007</v>
      </c>
      <c r="C97" s="14">
        <v>229</v>
      </c>
      <c r="F97" s="156">
        <v>2008</v>
      </c>
      <c r="G97" s="13">
        <v>220</v>
      </c>
    </row>
    <row r="98" spans="1:7">
      <c r="B98" s="156">
        <v>2008</v>
      </c>
      <c r="C98" s="14">
        <v>232</v>
      </c>
      <c r="F98" s="156">
        <v>2009</v>
      </c>
      <c r="G98" s="13">
        <v>280</v>
      </c>
    </row>
    <row r="99" spans="1:7">
      <c r="B99" s="156">
        <v>2009</v>
      </c>
      <c r="C99" s="14">
        <v>267</v>
      </c>
      <c r="F99" s="156">
        <v>2010</v>
      </c>
      <c r="G99" s="13">
        <v>278</v>
      </c>
    </row>
    <row r="100" spans="1:7">
      <c r="B100" s="156">
        <v>2010</v>
      </c>
      <c r="C100" s="14">
        <v>254</v>
      </c>
      <c r="F100" s="156">
        <v>2011</v>
      </c>
      <c r="G100" s="13">
        <v>173</v>
      </c>
    </row>
    <row r="101" spans="1:7">
      <c r="B101" s="156">
        <v>2011</v>
      </c>
      <c r="C101" s="14">
        <v>172</v>
      </c>
      <c r="F101" s="156">
        <v>2012</v>
      </c>
      <c r="G101" s="13">
        <v>167</v>
      </c>
    </row>
    <row r="102" spans="1:7">
      <c r="B102" s="156">
        <v>2012</v>
      </c>
      <c r="C102" s="14">
        <v>133.5</v>
      </c>
      <c r="F102" s="156">
        <v>2013</v>
      </c>
      <c r="G102" s="13">
        <v>162</v>
      </c>
    </row>
    <row r="103" spans="1:7">
      <c r="B103" s="156">
        <v>2013</v>
      </c>
      <c r="C103" s="14">
        <v>153</v>
      </c>
      <c r="F103" s="263">
        <v>2014</v>
      </c>
      <c r="G103" s="13">
        <v>302</v>
      </c>
    </row>
    <row r="104" spans="1:7">
      <c r="B104" s="156">
        <v>2014</v>
      </c>
      <c r="C104" s="14">
        <v>291</v>
      </c>
      <c r="F104" s="146">
        <v>2015</v>
      </c>
      <c r="G104" s="13">
        <v>406</v>
      </c>
    </row>
    <row r="105" spans="1:7">
      <c r="B105" s="156">
        <v>2015</v>
      </c>
      <c r="C105" s="14">
        <v>352</v>
      </c>
      <c r="F105" s="146"/>
    </row>
    <row r="106" spans="1:7">
      <c r="B106" s="156"/>
      <c r="F106" s="146"/>
    </row>
    <row r="107" spans="1:7">
      <c r="B107" s="77"/>
    </row>
    <row r="108" spans="1:7">
      <c r="A108" s="10" t="s">
        <v>50</v>
      </c>
      <c r="B108" s="156">
        <v>1990</v>
      </c>
      <c r="C108" s="13"/>
      <c r="E108" s="10" t="s">
        <v>49</v>
      </c>
      <c r="F108" s="156">
        <v>1991</v>
      </c>
      <c r="G108" s="13">
        <f t="shared" ref="G108:G132" si="1">C109-G80</f>
        <v>745</v>
      </c>
    </row>
    <row r="109" spans="1:7">
      <c r="B109" s="156">
        <v>1991</v>
      </c>
      <c r="C109" s="13">
        <f t="shared" ref="C109:C133" si="2">(C4+C52)/2</f>
        <v>1334</v>
      </c>
      <c r="E109" s="12"/>
      <c r="F109" s="156">
        <v>1992</v>
      </c>
      <c r="G109" s="13">
        <f t="shared" si="1"/>
        <v>1611</v>
      </c>
    </row>
    <row r="110" spans="1:7">
      <c r="B110" s="156">
        <v>1992</v>
      </c>
      <c r="C110" s="13">
        <f t="shared" si="2"/>
        <v>1936</v>
      </c>
      <c r="E110" s="12"/>
      <c r="F110" s="156">
        <v>1993</v>
      </c>
      <c r="G110" s="13">
        <f t="shared" si="1"/>
        <v>807.5</v>
      </c>
    </row>
    <row r="111" spans="1:7">
      <c r="B111" s="156">
        <v>1993</v>
      </c>
      <c r="C111" s="13">
        <f t="shared" si="2"/>
        <v>1238.5</v>
      </c>
      <c r="E111" s="12"/>
      <c r="F111" s="156">
        <v>1994</v>
      </c>
      <c r="G111" s="13">
        <f t="shared" si="1"/>
        <v>866.5</v>
      </c>
    </row>
    <row r="112" spans="1:7">
      <c r="B112" s="156">
        <v>1994</v>
      </c>
      <c r="C112" s="13">
        <f t="shared" si="2"/>
        <v>1217.5</v>
      </c>
      <c r="E112" s="12"/>
      <c r="F112" s="156">
        <v>1995</v>
      </c>
      <c r="G112" s="13">
        <f t="shared" si="1"/>
        <v>713</v>
      </c>
    </row>
    <row r="113" spans="2:26">
      <c r="B113" s="156">
        <v>1995</v>
      </c>
      <c r="C113" s="13">
        <f t="shared" si="2"/>
        <v>1204</v>
      </c>
      <c r="E113" s="12"/>
      <c r="F113" s="156">
        <v>1996</v>
      </c>
      <c r="G113" s="13">
        <f t="shared" si="1"/>
        <v>413.5</v>
      </c>
    </row>
    <row r="114" spans="2:26">
      <c r="B114" s="156">
        <v>1996</v>
      </c>
      <c r="C114" s="13">
        <f t="shared" si="2"/>
        <v>992.875</v>
      </c>
      <c r="E114" s="12"/>
      <c r="F114" s="156">
        <v>1997</v>
      </c>
      <c r="G114" s="13">
        <f t="shared" si="1"/>
        <v>88.660937500000045</v>
      </c>
    </row>
    <row r="115" spans="2:26">
      <c r="B115" s="156">
        <v>1997</v>
      </c>
      <c r="C115" s="13">
        <f t="shared" si="2"/>
        <v>609.06218750000005</v>
      </c>
      <c r="E115" s="12"/>
      <c r="F115" s="156">
        <v>1998</v>
      </c>
      <c r="G115" s="13">
        <f t="shared" si="1"/>
        <v>125.5</v>
      </c>
    </row>
    <row r="116" spans="2:26">
      <c r="B116" s="156">
        <v>1998</v>
      </c>
      <c r="C116" s="13">
        <f t="shared" si="2"/>
        <v>530.5</v>
      </c>
      <c r="E116" s="12"/>
      <c r="F116" s="156">
        <v>1999</v>
      </c>
      <c r="G116" s="13">
        <f t="shared" si="1"/>
        <v>130.5</v>
      </c>
    </row>
    <row r="117" spans="2:26">
      <c r="B117" s="156">
        <v>1999</v>
      </c>
      <c r="C117" s="13">
        <f t="shared" si="2"/>
        <v>356.5</v>
      </c>
      <c r="E117" s="12"/>
      <c r="F117" s="156">
        <v>2000</v>
      </c>
      <c r="G117" s="13">
        <f t="shared" si="1"/>
        <v>706</v>
      </c>
      <c r="I117" s="4">
        <v>2017</v>
      </c>
      <c r="O117" s="4">
        <v>2018</v>
      </c>
      <c r="V117" s="262">
        <v>2019</v>
      </c>
    </row>
    <row r="118" spans="2:26" ht="34.5">
      <c r="B118" s="156">
        <v>2000</v>
      </c>
      <c r="C118" s="13">
        <f t="shared" si="2"/>
        <v>1143</v>
      </c>
      <c r="E118" s="12"/>
      <c r="F118" s="156">
        <v>2001</v>
      </c>
      <c r="G118" s="13">
        <f t="shared" si="1"/>
        <v>342</v>
      </c>
      <c r="H118" s="543" t="s">
        <v>2</v>
      </c>
      <c r="I118" s="550" t="s">
        <v>84</v>
      </c>
      <c r="J118" s="543" t="s">
        <v>76</v>
      </c>
      <c r="K118" s="551" t="s">
        <v>85</v>
      </c>
      <c r="L118" s="551" t="s">
        <v>86</v>
      </c>
      <c r="M118" s="551" t="s">
        <v>87</v>
      </c>
      <c r="O118" s="1233" t="s">
        <v>2</v>
      </c>
      <c r="P118" s="1236" t="s">
        <v>84</v>
      </c>
      <c r="Q118" s="1236" t="s">
        <v>76</v>
      </c>
      <c r="R118" s="1236" t="s">
        <v>85</v>
      </c>
      <c r="S118" s="1236" t="s">
        <v>86</v>
      </c>
      <c r="T118" s="1236" t="s">
        <v>87</v>
      </c>
      <c r="V118" s="550" t="s">
        <v>84</v>
      </c>
      <c r="W118" s="543" t="s">
        <v>76</v>
      </c>
      <c r="X118" s="551" t="s">
        <v>85</v>
      </c>
      <c r="Y118" s="551" t="s">
        <v>86</v>
      </c>
      <c r="Z118" s="551" t="s">
        <v>87</v>
      </c>
    </row>
    <row r="119" spans="2:26" ht="23">
      <c r="B119" s="156">
        <v>2001</v>
      </c>
      <c r="C119" s="13">
        <f t="shared" si="2"/>
        <v>730</v>
      </c>
      <c r="E119" s="12"/>
      <c r="F119" s="156">
        <v>2002</v>
      </c>
      <c r="G119" s="13">
        <f t="shared" si="1"/>
        <v>2220</v>
      </c>
      <c r="H119" s="1230" t="s">
        <v>307</v>
      </c>
      <c r="I119" s="552">
        <v>761.07142857142856</v>
      </c>
      <c r="J119" s="552">
        <v>1400</v>
      </c>
      <c r="K119" s="552">
        <v>892.16666666666663</v>
      </c>
      <c r="L119" s="553">
        <v>770.5</v>
      </c>
      <c r="M119" s="553">
        <v>668.66666666666663</v>
      </c>
      <c r="O119" s="1234" t="s">
        <v>307</v>
      </c>
      <c r="P119" s="31">
        <v>750.42857142857144</v>
      </c>
      <c r="Q119" s="31">
        <v>1759</v>
      </c>
      <c r="R119" s="31">
        <v>842.83333333333337</v>
      </c>
      <c r="S119" s="31">
        <v>809.82142857142856</v>
      </c>
      <c r="T119" s="31">
        <v>724.83333333333337</v>
      </c>
      <c r="V119" s="552">
        <f t="shared" ref="V119:V125" si="3">AVERAGE(G119:T119)</f>
        <v>1054.4837662337666</v>
      </c>
      <c r="W119" s="552">
        <f t="shared" ref="W119:W125" si="4">MAX(G119:T119)</f>
        <v>2220</v>
      </c>
      <c r="X119" s="552">
        <f t="shared" ref="X119:X125" si="5">AVERAGE(M119:R119)</f>
        <v>1005.2321428571429</v>
      </c>
      <c r="Y119" s="553">
        <f>AVERAGE(G123:T124)</f>
        <v>871.61734693877565</v>
      </c>
      <c r="Z119" s="553">
        <f>AVERAGE(M123:R124)</f>
        <v>917.71825396825398</v>
      </c>
    </row>
    <row r="120" spans="2:26">
      <c r="B120" s="156">
        <v>2002</v>
      </c>
      <c r="C120" s="13">
        <f t="shared" si="2"/>
        <v>2500</v>
      </c>
      <c r="F120" s="156">
        <v>2003</v>
      </c>
      <c r="G120" s="13">
        <f t="shared" si="1"/>
        <v>992.5</v>
      </c>
      <c r="H120" s="1230" t="s">
        <v>306</v>
      </c>
      <c r="I120" s="552">
        <v>789.85714285714289</v>
      </c>
      <c r="J120" s="552">
        <v>1629</v>
      </c>
      <c r="K120" s="552">
        <v>525.16666666666663</v>
      </c>
      <c r="L120" s="554"/>
      <c r="M120" s="554"/>
      <c r="O120" s="1234" t="s">
        <v>306</v>
      </c>
      <c r="P120" s="31">
        <v>1046.6428571428571</v>
      </c>
      <c r="Q120" s="31">
        <v>1333</v>
      </c>
      <c r="R120" s="31">
        <v>1037</v>
      </c>
      <c r="V120" s="552">
        <f t="shared" si="3"/>
        <v>1050.452380952381</v>
      </c>
      <c r="W120" s="552">
        <f t="shared" si="4"/>
        <v>1629</v>
      </c>
      <c r="X120" s="552">
        <f t="shared" si="5"/>
        <v>1138.8809523809523</v>
      </c>
      <c r="Y120" s="554"/>
      <c r="Z120" s="554"/>
    </row>
    <row r="121" spans="2:26" ht="23">
      <c r="B121" s="156">
        <v>2003</v>
      </c>
      <c r="C121" s="13">
        <f t="shared" si="2"/>
        <v>1260.5</v>
      </c>
      <c r="F121" s="156">
        <v>2004</v>
      </c>
      <c r="G121" s="13">
        <f t="shared" si="1"/>
        <v>167.5</v>
      </c>
      <c r="H121" s="1231" t="s">
        <v>308</v>
      </c>
      <c r="I121" s="552">
        <v>730.42857142857144</v>
      </c>
      <c r="J121" s="552">
        <v>1178</v>
      </c>
      <c r="K121" s="552">
        <v>697.5</v>
      </c>
      <c r="L121" s="554"/>
      <c r="M121" s="554"/>
      <c r="O121" s="1235" t="s">
        <v>308</v>
      </c>
      <c r="P121" s="31">
        <v>691.78571428571433</v>
      </c>
      <c r="Q121" s="31">
        <v>1002</v>
      </c>
      <c r="R121" s="31">
        <v>589.83333333333337</v>
      </c>
      <c r="V121" s="552">
        <f t="shared" si="3"/>
        <v>722.43537414965988</v>
      </c>
      <c r="W121" s="552">
        <f t="shared" si="4"/>
        <v>1178</v>
      </c>
      <c r="X121" s="552">
        <f t="shared" si="5"/>
        <v>761.20634920634927</v>
      </c>
      <c r="Y121" s="554"/>
      <c r="Z121" s="554"/>
    </row>
    <row r="122" spans="2:26">
      <c r="B122" s="156">
        <v>2004</v>
      </c>
      <c r="C122" s="13">
        <f t="shared" si="2"/>
        <v>414.5</v>
      </c>
      <c r="F122" s="156">
        <v>2005</v>
      </c>
      <c r="G122" s="13">
        <f t="shared" si="1"/>
        <v>557.5</v>
      </c>
      <c r="H122" s="1231" t="s">
        <v>944</v>
      </c>
      <c r="I122" s="552">
        <v>803.42857142857144</v>
      </c>
      <c r="J122" s="552">
        <v>1483</v>
      </c>
      <c r="K122" s="552">
        <v>674.5</v>
      </c>
      <c r="L122" s="554"/>
      <c r="M122" s="554"/>
      <c r="O122" s="1235" t="s">
        <v>944</v>
      </c>
      <c r="P122" s="31">
        <v>894.28571428571433</v>
      </c>
      <c r="Q122" s="31">
        <v>1130</v>
      </c>
      <c r="R122" s="31">
        <v>852.5</v>
      </c>
      <c r="V122" s="552">
        <f t="shared" si="3"/>
        <v>913.60204081632662</v>
      </c>
      <c r="W122" s="552">
        <f t="shared" si="4"/>
        <v>1483</v>
      </c>
      <c r="X122" s="552">
        <f t="shared" si="5"/>
        <v>958.92857142857144</v>
      </c>
      <c r="Y122" s="554"/>
      <c r="Z122" s="554"/>
    </row>
    <row r="123" spans="2:26">
      <c r="B123" s="156">
        <v>2005</v>
      </c>
      <c r="C123" s="13">
        <f t="shared" si="2"/>
        <v>790.5</v>
      </c>
      <c r="F123" s="156">
        <v>2006</v>
      </c>
      <c r="G123" s="13">
        <f t="shared" si="1"/>
        <v>798.5</v>
      </c>
      <c r="H123" s="1231" t="s">
        <v>313</v>
      </c>
      <c r="I123" s="552">
        <v>746.28571428571433</v>
      </c>
      <c r="J123" s="552">
        <v>1390</v>
      </c>
      <c r="K123" s="552">
        <v>679.5</v>
      </c>
      <c r="L123" s="554"/>
      <c r="M123" s="554"/>
      <c r="O123" s="1235" t="s">
        <v>313</v>
      </c>
      <c r="P123" s="31">
        <v>799.57142857142856</v>
      </c>
      <c r="Q123" s="31">
        <v>1170</v>
      </c>
      <c r="R123" s="31">
        <v>729.83333333333337</v>
      </c>
      <c r="V123" s="552">
        <f t="shared" si="3"/>
        <v>901.95578231292518</v>
      </c>
      <c r="W123" s="552">
        <f t="shared" si="4"/>
        <v>1390</v>
      </c>
      <c r="X123" s="552">
        <f t="shared" si="5"/>
        <v>899.80158730158735</v>
      </c>
      <c r="Y123" s="554"/>
      <c r="Z123" s="554"/>
    </row>
    <row r="124" spans="2:26">
      <c r="B124" s="156">
        <v>2006</v>
      </c>
      <c r="C124" s="13">
        <f t="shared" si="2"/>
        <v>994.5</v>
      </c>
      <c r="F124" s="156">
        <v>2007</v>
      </c>
      <c r="G124" s="13">
        <f t="shared" si="1"/>
        <v>317.5</v>
      </c>
      <c r="H124" s="1231" t="s">
        <v>315</v>
      </c>
      <c r="I124" s="552">
        <v>794.71428571428567</v>
      </c>
      <c r="J124" s="552">
        <v>1312</v>
      </c>
      <c r="K124" s="552">
        <v>657.83333333333337</v>
      </c>
      <c r="L124" s="554"/>
      <c r="M124" s="554"/>
      <c r="O124" s="1235" t="s">
        <v>315</v>
      </c>
      <c r="P124" s="31">
        <v>820.07142857142856</v>
      </c>
      <c r="Q124" s="31">
        <v>1267</v>
      </c>
      <c r="R124" s="31">
        <v>719.83333333333337</v>
      </c>
      <c r="V124" s="552">
        <f t="shared" si="3"/>
        <v>841.27891156462579</v>
      </c>
      <c r="W124" s="552">
        <f t="shared" si="4"/>
        <v>1312</v>
      </c>
      <c r="X124" s="552">
        <f t="shared" si="5"/>
        <v>935.6349206349206</v>
      </c>
      <c r="Y124" s="554"/>
      <c r="Z124" s="554"/>
    </row>
    <row r="125" spans="2:26" ht="23">
      <c r="B125" s="156">
        <v>2007</v>
      </c>
      <c r="C125" s="13">
        <f t="shared" si="2"/>
        <v>578.5</v>
      </c>
      <c r="F125" s="156">
        <v>2008</v>
      </c>
      <c r="G125" s="13">
        <f t="shared" si="1"/>
        <v>662</v>
      </c>
      <c r="H125" s="1232" t="s">
        <v>314</v>
      </c>
      <c r="I125" s="552">
        <v>770.5</v>
      </c>
      <c r="J125" s="552">
        <v>1351</v>
      </c>
      <c r="K125" s="552">
        <v>668.66666666666663</v>
      </c>
      <c r="L125" s="555"/>
      <c r="M125" s="555"/>
      <c r="O125" s="1232" t="s">
        <v>314</v>
      </c>
      <c r="P125" s="31">
        <v>809.82142857142856</v>
      </c>
      <c r="Q125" s="31">
        <v>1218.5</v>
      </c>
      <c r="R125" s="31">
        <v>724.83333333333337</v>
      </c>
      <c r="V125" s="552">
        <f t="shared" si="3"/>
        <v>886.47448979591832</v>
      </c>
      <c r="W125" s="552">
        <f t="shared" si="4"/>
        <v>1351</v>
      </c>
      <c r="X125" s="552">
        <f t="shared" si="5"/>
        <v>917.71825396825398</v>
      </c>
      <c r="Y125" s="555"/>
      <c r="Z125" s="555"/>
    </row>
    <row r="126" spans="2:26">
      <c r="B126" s="156">
        <v>2008</v>
      </c>
      <c r="C126" s="13">
        <f t="shared" si="2"/>
        <v>882</v>
      </c>
      <c r="F126" s="156">
        <v>2009</v>
      </c>
      <c r="G126" s="13">
        <f t="shared" si="1"/>
        <v>390</v>
      </c>
    </row>
    <row r="127" spans="2:26">
      <c r="B127" s="156">
        <v>2009</v>
      </c>
      <c r="C127" s="13">
        <f t="shared" si="2"/>
        <v>670</v>
      </c>
      <c r="F127" s="156">
        <v>2010</v>
      </c>
      <c r="G127" s="13">
        <f t="shared" si="1"/>
        <v>654.5</v>
      </c>
    </row>
    <row r="128" spans="2:26">
      <c r="B128" s="156">
        <v>2010</v>
      </c>
      <c r="C128" s="13">
        <f t="shared" si="2"/>
        <v>932.5</v>
      </c>
      <c r="F128" s="156">
        <v>2011</v>
      </c>
      <c r="G128" s="13">
        <f t="shared" si="1"/>
        <v>423.5</v>
      </c>
    </row>
    <row r="129" spans="1:17">
      <c r="B129" s="156">
        <v>2011</v>
      </c>
      <c r="C129" s="13">
        <f t="shared" si="2"/>
        <v>596.5</v>
      </c>
      <c r="F129" s="156">
        <v>2012</v>
      </c>
      <c r="G129" s="13">
        <f t="shared" si="1"/>
        <v>567.5</v>
      </c>
    </row>
    <row r="130" spans="1:17">
      <c r="B130" s="156">
        <v>2012</v>
      </c>
      <c r="C130" s="13">
        <f t="shared" si="2"/>
        <v>734.5</v>
      </c>
      <c r="F130" s="156">
        <v>2013</v>
      </c>
      <c r="G130" s="13">
        <f t="shared" si="1"/>
        <v>459.5</v>
      </c>
    </row>
    <row r="131" spans="1:17">
      <c r="B131" s="178">
        <v>2013</v>
      </c>
      <c r="C131" s="13">
        <f t="shared" si="2"/>
        <v>621.5</v>
      </c>
      <c r="F131" s="263">
        <v>2014</v>
      </c>
      <c r="G131" s="13">
        <f t="shared" si="1"/>
        <v>49</v>
      </c>
    </row>
    <row r="132" spans="1:17">
      <c r="B132" s="156">
        <v>2014</v>
      </c>
      <c r="C132" s="13">
        <f t="shared" si="2"/>
        <v>351</v>
      </c>
      <c r="F132" s="263">
        <v>2015</v>
      </c>
      <c r="G132" s="13">
        <f t="shared" si="1"/>
        <v>176.5</v>
      </c>
    </row>
    <row r="133" spans="1:17">
      <c r="B133" s="156">
        <v>2015</v>
      </c>
      <c r="C133" s="13">
        <f t="shared" si="2"/>
        <v>582.5</v>
      </c>
      <c r="F133" s="146">
        <v>2016</v>
      </c>
      <c r="G133" s="13"/>
    </row>
    <row r="134" spans="1:17">
      <c r="B134" s="156">
        <v>2016</v>
      </c>
      <c r="C134" s="13"/>
      <c r="F134" s="146"/>
      <c r="G134" s="13"/>
    </row>
    <row r="136" spans="1:17" ht="21">
      <c r="A136" s="293" t="s">
        <v>945</v>
      </c>
      <c r="B136" s="264" t="s">
        <v>84</v>
      </c>
      <c r="C136" s="265" t="s">
        <v>76</v>
      </c>
      <c r="D136" s="264" t="s">
        <v>102</v>
      </c>
      <c r="E136" s="264" t="s">
        <v>114</v>
      </c>
      <c r="F136" s="264" t="s">
        <v>115</v>
      </c>
      <c r="I136" s="262">
        <v>2011</v>
      </c>
      <c r="J136" s="262">
        <v>2012</v>
      </c>
      <c r="K136" s="262">
        <v>2013</v>
      </c>
      <c r="L136" s="262">
        <v>2014</v>
      </c>
      <c r="M136" s="262">
        <v>2015</v>
      </c>
      <c r="N136" s="262">
        <v>2016</v>
      </c>
      <c r="O136" s="262">
        <v>2017</v>
      </c>
      <c r="P136" s="262">
        <v>2018</v>
      </c>
      <c r="Q136" s="262">
        <v>2019</v>
      </c>
    </row>
    <row r="137" spans="1:17">
      <c r="A137" s="266" t="s">
        <v>307</v>
      </c>
      <c r="B137">
        <v>980.66666666666663</v>
      </c>
      <c r="C137">
        <v>1552</v>
      </c>
      <c r="D137">
        <v>1041.8333333333333</v>
      </c>
      <c r="E137">
        <v>927.4666666666667</v>
      </c>
      <c r="F137">
        <v>798.66666666666663</v>
      </c>
      <c r="H137" t="s">
        <v>114</v>
      </c>
      <c r="I137">
        <v>630.45833333333337</v>
      </c>
      <c r="J137">
        <v>670.2</v>
      </c>
      <c r="K137">
        <v>751.66666666666663</v>
      </c>
      <c r="L137">
        <v>702.4</v>
      </c>
      <c r="M137">
        <v>927</v>
      </c>
      <c r="N137">
        <v>778</v>
      </c>
      <c r="O137">
        <v>771</v>
      </c>
      <c r="P137">
        <v>810</v>
      </c>
      <c r="Q137">
        <v>872</v>
      </c>
    </row>
    <row r="138" spans="1:17">
      <c r="A138" s="266" t="s">
        <v>306</v>
      </c>
      <c r="B138">
        <v>808.13333333333333</v>
      </c>
      <c r="C138">
        <v>1316</v>
      </c>
      <c r="D138">
        <v>654.33333333333337</v>
      </c>
      <c r="H138" t="s">
        <v>115</v>
      </c>
      <c r="I138">
        <v>651.5</v>
      </c>
      <c r="J138">
        <v>646.58333333333337</v>
      </c>
      <c r="K138">
        <v>868.91666666666663</v>
      </c>
      <c r="L138">
        <v>567.41666666666663</v>
      </c>
      <c r="M138">
        <v>799</v>
      </c>
      <c r="N138">
        <v>670</v>
      </c>
      <c r="O138">
        <v>669</v>
      </c>
      <c r="P138">
        <v>725</v>
      </c>
      <c r="Q138">
        <v>918</v>
      </c>
    </row>
    <row r="139" spans="1:17">
      <c r="A139" s="267" t="s">
        <v>308</v>
      </c>
      <c r="B139">
        <v>834.73333333333335</v>
      </c>
      <c r="C139">
        <v>1746</v>
      </c>
      <c r="D139">
        <v>608.66666666666663</v>
      </c>
      <c r="H139" s="266" t="s">
        <v>976</v>
      </c>
      <c r="I139">
        <v>641</v>
      </c>
      <c r="J139">
        <v>698</v>
      </c>
      <c r="K139">
        <v>753</v>
      </c>
      <c r="L139">
        <v>594</v>
      </c>
      <c r="M139">
        <v>981</v>
      </c>
      <c r="N139">
        <v>881</v>
      </c>
      <c r="O139">
        <v>761</v>
      </c>
      <c r="P139">
        <v>750</v>
      </c>
      <c r="Q139">
        <v>1054</v>
      </c>
    </row>
    <row r="140" spans="1:17">
      <c r="A140" s="268" t="s">
        <v>309</v>
      </c>
      <c r="B140">
        <v>925.93333333333328</v>
      </c>
      <c r="C140">
        <v>1308</v>
      </c>
      <c r="D140">
        <v>827.83333333333337</v>
      </c>
      <c r="H140" s="266" t="s">
        <v>977</v>
      </c>
      <c r="I140">
        <v>1056</v>
      </c>
      <c r="J140">
        <v>1517</v>
      </c>
      <c r="K140">
        <v>1255</v>
      </c>
      <c r="L140">
        <v>695</v>
      </c>
      <c r="M140">
        <v>808</v>
      </c>
      <c r="N140">
        <v>895</v>
      </c>
      <c r="O140">
        <v>790</v>
      </c>
      <c r="P140">
        <v>1047</v>
      </c>
      <c r="Q140">
        <v>1050</v>
      </c>
    </row>
    <row r="141" spans="1:17">
      <c r="A141" s="268" t="s">
        <v>310</v>
      </c>
      <c r="B141">
        <v>929</v>
      </c>
      <c r="C141">
        <v>1283</v>
      </c>
      <c r="D141">
        <v>769.5</v>
      </c>
    </row>
    <row r="142" spans="1:17">
      <c r="A142" s="267" t="s">
        <v>311</v>
      </c>
      <c r="B142">
        <v>927.4666666666667</v>
      </c>
      <c r="C142">
        <v>1276.5</v>
      </c>
      <c r="D142">
        <v>798.66666666666663</v>
      </c>
    </row>
    <row r="144" spans="1:17" ht="34.5">
      <c r="A144" s="48">
        <v>2016</v>
      </c>
      <c r="B144" s="550" t="s">
        <v>84</v>
      </c>
      <c r="C144" s="543" t="s">
        <v>76</v>
      </c>
      <c r="D144" s="551" t="s">
        <v>85</v>
      </c>
      <c r="E144" s="551" t="s">
        <v>86</v>
      </c>
      <c r="F144" s="551" t="s">
        <v>87</v>
      </c>
    </row>
    <row r="145" spans="1:6">
      <c r="A145" s="544" t="s">
        <v>307</v>
      </c>
      <c r="B145" s="552">
        <v>880.6</v>
      </c>
      <c r="C145" s="552">
        <v>1059</v>
      </c>
      <c r="D145" s="552">
        <v>948.16666666666663</v>
      </c>
      <c r="E145" s="553">
        <v>778.41379310344826</v>
      </c>
      <c r="F145" s="553">
        <v>670.08333333333337</v>
      </c>
    </row>
    <row r="146" spans="1:6">
      <c r="A146" s="544" t="s">
        <v>306</v>
      </c>
      <c r="B146" s="552">
        <v>894.73333333333335</v>
      </c>
      <c r="C146" s="552">
        <v>1390</v>
      </c>
      <c r="D146" s="552">
        <v>892.16666666666663</v>
      </c>
      <c r="E146" s="554"/>
      <c r="F146" s="554"/>
    </row>
    <row r="147" spans="1:6">
      <c r="A147" s="545" t="s">
        <v>308</v>
      </c>
      <c r="B147" s="552">
        <v>751.93333333333328</v>
      </c>
      <c r="C147" s="552">
        <v>1193</v>
      </c>
      <c r="D147" s="552">
        <v>679.83333333333337</v>
      </c>
      <c r="E147" s="554"/>
      <c r="F147" s="554"/>
    </row>
    <row r="148" spans="1:6">
      <c r="A148" s="545" t="s">
        <v>944</v>
      </c>
      <c r="B148" s="552">
        <v>907.8</v>
      </c>
      <c r="C148" s="552">
        <v>1296</v>
      </c>
      <c r="D148" s="552">
        <v>846.33333333333337</v>
      </c>
      <c r="E148" s="554"/>
      <c r="F148" s="554"/>
    </row>
    <row r="149" spans="1:6">
      <c r="A149" s="545" t="s">
        <v>313</v>
      </c>
      <c r="B149" s="552">
        <v>759</v>
      </c>
      <c r="C149" s="552">
        <v>1309</v>
      </c>
      <c r="D149" s="552">
        <v>669.33333333333337</v>
      </c>
      <c r="E149" s="554"/>
      <c r="F149" s="554"/>
    </row>
    <row r="150" spans="1:6">
      <c r="A150" s="545" t="s">
        <v>315</v>
      </c>
      <c r="B150" s="552">
        <v>799.21428571428567</v>
      </c>
      <c r="C150" s="552">
        <v>1271</v>
      </c>
      <c r="D150" s="552">
        <v>670.83333333333337</v>
      </c>
      <c r="E150" s="554"/>
      <c r="F150" s="554"/>
    </row>
    <row r="151" spans="1:6" ht="23">
      <c r="A151" s="546" t="s">
        <v>314</v>
      </c>
      <c r="B151" s="552">
        <v>784.1</v>
      </c>
      <c r="C151" s="552">
        <v>1245</v>
      </c>
      <c r="D151" s="552">
        <v>670.08333333333337</v>
      </c>
      <c r="E151" s="555"/>
      <c r="F151" s="555"/>
    </row>
    <row r="153" spans="1:6" ht="28">
      <c r="A153" s="12" t="s">
        <v>946</v>
      </c>
      <c r="B153" s="14" t="s">
        <v>84</v>
      </c>
      <c r="C153" s="14" t="s">
        <v>76</v>
      </c>
      <c r="D153" t="s">
        <v>102</v>
      </c>
      <c r="E153" t="s">
        <v>114</v>
      </c>
      <c r="F153" t="s">
        <v>115</v>
      </c>
    </row>
    <row r="154" spans="1:6" ht="25">
      <c r="A154" s="12" t="s">
        <v>307</v>
      </c>
      <c r="B154" s="14">
        <v>593.79999999999995</v>
      </c>
      <c r="C154" s="14">
        <v>896</v>
      </c>
      <c r="D154">
        <v>428.5</v>
      </c>
      <c r="E154">
        <v>702.4</v>
      </c>
      <c r="F154">
        <v>567.41666666666663</v>
      </c>
    </row>
    <row r="155" spans="1:6">
      <c r="A155" s="12" t="s">
        <v>306</v>
      </c>
      <c r="B155" s="14">
        <v>644.5333333333333</v>
      </c>
      <c r="C155" s="14">
        <v>1408</v>
      </c>
      <c r="D155" s="4">
        <v>471.33333333333331</v>
      </c>
    </row>
    <row r="156" spans="1:6">
      <c r="A156" s="12" t="s">
        <v>308</v>
      </c>
      <c r="B156" s="14">
        <v>646.13333333333333</v>
      </c>
      <c r="C156" s="14">
        <v>1134</v>
      </c>
      <c r="D156" s="4">
        <v>486.66666666666669</v>
      </c>
    </row>
    <row r="157" spans="1:6">
      <c r="A157" s="12" t="s">
        <v>309</v>
      </c>
      <c r="B157" s="14">
        <v>676.6</v>
      </c>
      <c r="C157" s="14">
        <v>1315</v>
      </c>
      <c r="D157" s="4">
        <v>543</v>
      </c>
    </row>
    <row r="158" spans="1:6">
      <c r="A158" s="12" t="s">
        <v>310</v>
      </c>
      <c r="B158" s="14">
        <v>728.2</v>
      </c>
      <c r="C158" s="14">
        <v>1300</v>
      </c>
      <c r="D158" s="4">
        <v>591.83333333333337</v>
      </c>
    </row>
    <row r="159" spans="1:6" ht="25">
      <c r="A159" s="12" t="s">
        <v>311</v>
      </c>
      <c r="B159" s="14">
        <v>702.4</v>
      </c>
      <c r="C159" s="14">
        <v>1307.5</v>
      </c>
      <c r="D159" s="4">
        <v>567.41666666666663</v>
      </c>
    </row>
    <row r="160" spans="1:6">
      <c r="D160" s="4"/>
    </row>
    <row r="161" spans="1:6" ht="28">
      <c r="A161" s="12" t="s">
        <v>947</v>
      </c>
      <c r="B161" s="14" t="s">
        <v>84</v>
      </c>
      <c r="C161" s="14" t="s">
        <v>76</v>
      </c>
      <c r="D161" s="4" t="s">
        <v>102</v>
      </c>
      <c r="E161" t="s">
        <v>114</v>
      </c>
      <c r="F161" t="s">
        <v>115</v>
      </c>
    </row>
    <row r="162" spans="1:6" ht="25">
      <c r="A162" s="12" t="s">
        <v>307</v>
      </c>
      <c r="B162" s="14">
        <v>752.57142857142856</v>
      </c>
      <c r="C162" s="14">
        <v>1250</v>
      </c>
      <c r="D162">
        <v>907.66666666666663</v>
      </c>
      <c r="E162">
        <v>751.66666666666663</v>
      </c>
      <c r="F162">
        <v>868.91666666666663</v>
      </c>
    </row>
    <row r="163" spans="1:6">
      <c r="A163" s="12" t="s">
        <v>306</v>
      </c>
      <c r="B163" s="14">
        <v>1254.5714285714287</v>
      </c>
      <c r="C163" s="14">
        <v>3154</v>
      </c>
      <c r="D163">
        <v>892.5</v>
      </c>
    </row>
    <row r="164" spans="1:6">
      <c r="A164" s="12" t="s">
        <v>308</v>
      </c>
      <c r="B164" s="14">
        <v>879.28571428571433</v>
      </c>
      <c r="C164" s="14">
        <v>2241</v>
      </c>
      <c r="D164">
        <v>1080.1666666666667</v>
      </c>
    </row>
    <row r="165" spans="1:6">
      <c r="A165" s="12" t="s">
        <v>309</v>
      </c>
      <c r="B165" s="14">
        <v>782</v>
      </c>
      <c r="C165" s="14">
        <v>1272</v>
      </c>
      <c r="D165">
        <v>949.5</v>
      </c>
    </row>
    <row r="166" spans="1:6">
      <c r="A166" s="12" t="s">
        <v>310</v>
      </c>
      <c r="B166" s="14">
        <v>721.33333333333337</v>
      </c>
      <c r="C166" s="14">
        <v>1049</v>
      </c>
      <c r="D166">
        <v>788.33333333333337</v>
      </c>
    </row>
    <row r="167" spans="1:6" ht="25">
      <c r="A167" s="12" t="s">
        <v>311</v>
      </c>
      <c r="B167" s="14">
        <v>751.66666666666663</v>
      </c>
      <c r="C167" s="14">
        <v>1125</v>
      </c>
      <c r="D167">
        <v>868.91666666666663</v>
      </c>
    </row>
    <row r="169" spans="1:6" ht="28">
      <c r="A169" s="12" t="s">
        <v>948</v>
      </c>
      <c r="B169" s="14" t="s">
        <v>84</v>
      </c>
      <c r="C169" s="14" t="s">
        <v>76</v>
      </c>
      <c r="D169" t="s">
        <v>102</v>
      </c>
      <c r="E169" t="s">
        <v>114</v>
      </c>
      <c r="F169" t="s">
        <v>115</v>
      </c>
    </row>
    <row r="170" spans="1:6" ht="25">
      <c r="A170" s="12" t="s">
        <v>307</v>
      </c>
      <c r="B170" s="14">
        <v>697.86666666666667</v>
      </c>
      <c r="C170" s="14">
        <v>1016</v>
      </c>
      <c r="D170">
        <v>746.83333333333337</v>
      </c>
      <c r="E170">
        <v>670.2</v>
      </c>
      <c r="F170">
        <v>646.58333333333337</v>
      </c>
    </row>
    <row r="171" spans="1:6">
      <c r="A171" s="12" t="s">
        <v>306</v>
      </c>
      <c r="B171" s="14">
        <v>1517.0666666666666</v>
      </c>
      <c r="C171" s="14">
        <v>3302</v>
      </c>
      <c r="D171">
        <v>1675.1666666666667</v>
      </c>
    </row>
    <row r="172" spans="1:6">
      <c r="A172" s="12" t="s">
        <v>308</v>
      </c>
      <c r="B172" s="14">
        <v>610.26666666666665</v>
      </c>
      <c r="C172" s="14">
        <v>884</v>
      </c>
      <c r="D172">
        <v>626.83333333333337</v>
      </c>
    </row>
    <row r="173" spans="1:6">
      <c r="A173" s="12" t="s">
        <v>309</v>
      </c>
      <c r="B173" s="14">
        <v>676.06666666666672</v>
      </c>
      <c r="C173" s="14">
        <v>944</v>
      </c>
      <c r="D173">
        <v>651.5</v>
      </c>
    </row>
    <row r="174" spans="1:6">
      <c r="A174" s="12" t="s">
        <v>310</v>
      </c>
      <c r="B174" s="14">
        <v>664.33333333333337</v>
      </c>
      <c r="C174" s="14">
        <v>931</v>
      </c>
      <c r="D174">
        <v>641.66666666666663</v>
      </c>
    </row>
    <row r="175" spans="1:6" ht="25">
      <c r="A175" s="12" t="s">
        <v>311</v>
      </c>
      <c r="B175" s="14">
        <v>670.2</v>
      </c>
      <c r="C175" s="14">
        <v>937.5</v>
      </c>
      <c r="D175">
        <v>646.58333333333326</v>
      </c>
    </row>
    <row r="177" spans="1:6" ht="28">
      <c r="A177" s="12" t="s">
        <v>949</v>
      </c>
      <c r="B177" s="14" t="s">
        <v>84</v>
      </c>
      <c r="C177" s="14" t="s">
        <v>76</v>
      </c>
      <c r="D177" t="s">
        <v>102</v>
      </c>
      <c r="E177" t="s">
        <v>114</v>
      </c>
      <c r="F177" t="s">
        <v>115</v>
      </c>
    </row>
    <row r="178" spans="1:6" ht="25">
      <c r="A178" s="12" t="s">
        <v>307</v>
      </c>
      <c r="B178" s="14">
        <v>640.86666666666667</v>
      </c>
      <c r="C178" s="14">
        <v>935</v>
      </c>
      <c r="D178">
        <v>621</v>
      </c>
      <c r="E178">
        <v>630.45833333333337</v>
      </c>
      <c r="F178">
        <v>651.5</v>
      </c>
    </row>
    <row r="179" spans="1:6">
      <c r="A179" s="12" t="s">
        <v>306</v>
      </c>
      <c r="B179" s="14">
        <v>1056.0666666666666</v>
      </c>
      <c r="C179" s="14">
        <v>2248</v>
      </c>
      <c r="D179">
        <v>787.5</v>
      </c>
    </row>
    <row r="180" spans="1:6">
      <c r="A180" s="12" t="s">
        <v>308</v>
      </c>
      <c r="B180" s="14">
        <v>611.33333333333337</v>
      </c>
      <c r="C180" s="14">
        <v>1012</v>
      </c>
      <c r="D180">
        <v>580.66666666666663</v>
      </c>
    </row>
    <row r="181" spans="1:6">
      <c r="A181" s="12" t="s">
        <v>309</v>
      </c>
      <c r="B181" s="14">
        <v>639.16666666666663</v>
      </c>
      <c r="C181" s="14">
        <v>799</v>
      </c>
      <c r="D181">
        <v>698.16666666666663</v>
      </c>
    </row>
    <row r="182" spans="1:6">
      <c r="A182" s="12" t="s">
        <v>310</v>
      </c>
      <c r="B182" s="14">
        <v>621.75</v>
      </c>
      <c r="C182" s="14">
        <v>1005</v>
      </c>
      <c r="D182">
        <v>604.83333333333337</v>
      </c>
    </row>
    <row r="183" spans="1:6" ht="25">
      <c r="A183" s="12" t="s">
        <v>311</v>
      </c>
      <c r="B183" s="14">
        <v>630.45833333333326</v>
      </c>
      <c r="C183" s="14">
        <v>902</v>
      </c>
      <c r="D183">
        <v>651.5</v>
      </c>
    </row>
  </sheetData>
  <mergeCells count="2">
    <mergeCell ref="A1:G1"/>
    <mergeCell ref="A78:G78"/>
  </mergeCells>
  <phoneticPr fontId="11" type="noConversion"/>
  <pageMargins left="0.75" right="0.75" top="1" bottom="1" header="0.5" footer="0.5"/>
  <pageSetup orientation="portrait" horizontalDpi="0" verticalDpi="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59999389629810485"/>
  </sheetPr>
  <dimension ref="A1:W133"/>
  <sheetViews>
    <sheetView workbookViewId="0">
      <pane ySplit="1" topLeftCell="A35" activePane="bottomLeft" state="frozen"/>
      <selection pane="bottomLeft" activeCell="K123" sqref="K123"/>
    </sheetView>
  </sheetViews>
  <sheetFormatPr defaultColWidth="9.08984375" defaultRowHeight="12.5"/>
  <cols>
    <col min="1" max="1" width="11.6328125" style="192" bestFit="1" customWidth="1"/>
    <col min="2" max="2" width="7.08984375" style="193" customWidth="1"/>
    <col min="3" max="3" width="33" style="195" bestFit="1" customWidth="1"/>
    <col min="4" max="4" width="9" style="192" bestFit="1" customWidth="1"/>
    <col min="5" max="5" width="6.81640625" style="340" customWidth="1"/>
    <col min="6" max="6" width="6.81640625" style="196" customWidth="1"/>
    <col min="7" max="7" width="8.08984375" style="456" customWidth="1"/>
    <col min="8" max="8" width="7.54296875" style="196" customWidth="1"/>
    <col min="9" max="9" width="8.1796875" style="196" bestFit="1" customWidth="1"/>
    <col min="10" max="10" width="7.6328125" style="456" customWidth="1"/>
    <col min="11" max="11" width="6.453125" style="456" customWidth="1"/>
    <col min="12" max="12" width="10.54296875" style="456" customWidth="1"/>
    <col min="13" max="13" width="10.54296875" style="194" bestFit="1" customWidth="1"/>
    <col min="14" max="14" width="6.54296875" style="192" bestFit="1" customWidth="1"/>
    <col min="15" max="19" width="9.08984375" style="192"/>
    <col min="20" max="20" width="13.1796875" style="192" customWidth="1"/>
    <col min="21" max="21" width="9.08984375" style="192"/>
    <col min="22" max="22" width="16.81640625" style="192" customWidth="1"/>
    <col min="23" max="16384" width="9.08984375" style="192"/>
  </cols>
  <sheetData>
    <row r="1" spans="1:23" ht="37.5">
      <c r="A1" s="457" t="s">
        <v>232</v>
      </c>
      <c r="B1" s="207" t="s">
        <v>9</v>
      </c>
      <c r="C1" s="208" t="s">
        <v>231</v>
      </c>
      <c r="D1" s="208" t="s">
        <v>132</v>
      </c>
      <c r="E1" s="458" t="s">
        <v>134</v>
      </c>
      <c r="F1" s="247" t="s">
        <v>138</v>
      </c>
      <c r="G1" s="592" t="s">
        <v>935</v>
      </c>
      <c r="H1" s="459" t="s">
        <v>936</v>
      </c>
      <c r="I1" s="247" t="s">
        <v>1265</v>
      </c>
      <c r="J1" s="590" t="s">
        <v>851</v>
      </c>
      <c r="K1" s="460" t="s">
        <v>246</v>
      </c>
      <c r="L1" s="461" t="s">
        <v>316</v>
      </c>
      <c r="M1" s="461" t="s">
        <v>972</v>
      </c>
      <c r="N1" s="461" t="s">
        <v>317</v>
      </c>
      <c r="O1" s="587" t="s">
        <v>890</v>
      </c>
      <c r="P1" s="192" t="s">
        <v>1435</v>
      </c>
    </row>
    <row r="2" spans="1:23" ht="14">
      <c r="A2" s="2441" t="s">
        <v>212</v>
      </c>
      <c r="B2" s="2443" t="s">
        <v>288</v>
      </c>
      <c r="C2" s="2446" t="s">
        <v>522</v>
      </c>
      <c r="D2" s="56">
        <v>43599</v>
      </c>
      <c r="E2" s="1106">
        <v>0.40277777777777773</v>
      </c>
      <c r="F2" s="199">
        <v>7.25</v>
      </c>
      <c r="G2" s="344">
        <v>3.5</v>
      </c>
      <c r="H2" s="344">
        <v>26.2</v>
      </c>
      <c r="I2" s="199">
        <v>13.66</v>
      </c>
      <c r="J2" s="591">
        <v>46.2</v>
      </c>
      <c r="K2" s="344">
        <v>32</v>
      </c>
      <c r="L2" s="462">
        <v>0.05</v>
      </c>
      <c r="M2" s="588">
        <v>1</v>
      </c>
      <c r="N2" s="439" t="s">
        <v>849</v>
      </c>
      <c r="O2" s="586">
        <v>0.4</v>
      </c>
      <c r="P2" s="192">
        <f>K2*1.983*30</f>
        <v>1903.68</v>
      </c>
      <c r="Q2" s="192">
        <f>SUM(P2:P7)</f>
        <v>11303.1</v>
      </c>
      <c r="R2" t="s">
        <v>150</v>
      </c>
      <c r="S2" t="s">
        <v>151</v>
      </c>
      <c r="T2" t="s">
        <v>152</v>
      </c>
      <c r="U2" t="s">
        <v>153</v>
      </c>
      <c r="V2" t="s">
        <v>303</v>
      </c>
    </row>
    <row r="3" spans="1:23" ht="13">
      <c r="A3" s="2441"/>
      <c r="B3" s="2444"/>
      <c r="C3" s="2447"/>
      <c r="D3" s="56">
        <v>43636</v>
      </c>
      <c r="E3" s="1106">
        <v>0.39583333333333331</v>
      </c>
      <c r="F3" s="199">
        <v>7.97</v>
      </c>
      <c r="G3" s="344">
        <v>6.3</v>
      </c>
      <c r="H3" s="344">
        <v>23.9</v>
      </c>
      <c r="I3" s="199">
        <v>9.7899999999999991</v>
      </c>
      <c r="J3" s="591">
        <v>35.1</v>
      </c>
      <c r="K3" s="344">
        <v>71</v>
      </c>
      <c r="L3" s="593">
        <v>0.05</v>
      </c>
      <c r="M3" s="588">
        <v>1</v>
      </c>
      <c r="N3" s="439" t="s">
        <v>849</v>
      </c>
      <c r="O3" s="586"/>
      <c r="P3" s="192">
        <f t="shared" ref="P3:P60" si="0">K3*1.983*30</f>
        <v>4223.79</v>
      </c>
      <c r="R3" s="120">
        <v>2</v>
      </c>
      <c r="S3" s="119">
        <v>0.28000000000000003</v>
      </c>
      <c r="T3" s="119">
        <v>0.3</v>
      </c>
      <c r="U3" s="119">
        <f>S3*4</f>
        <v>1.1200000000000001</v>
      </c>
      <c r="V3" s="7">
        <f>T3*U3</f>
        <v>0.33600000000000002</v>
      </c>
    </row>
    <row r="4" spans="1:23" ht="14">
      <c r="A4" s="2441"/>
      <c r="B4" s="2444"/>
      <c r="C4" s="2447"/>
      <c r="D4" s="56">
        <v>43655</v>
      </c>
      <c r="E4" s="1106">
        <v>0.38194444444444442</v>
      </c>
      <c r="F4" s="199">
        <v>7.82</v>
      </c>
      <c r="G4" s="344">
        <v>6.8</v>
      </c>
      <c r="H4" s="344">
        <v>22.7</v>
      </c>
      <c r="I4" s="199">
        <v>10.75</v>
      </c>
      <c r="J4" s="591">
        <v>36.5</v>
      </c>
      <c r="K4" s="344">
        <v>44</v>
      </c>
      <c r="L4" s="593">
        <v>0.05</v>
      </c>
      <c r="M4" s="588">
        <v>1</v>
      </c>
      <c r="N4" s="439" t="s">
        <v>849</v>
      </c>
      <c r="O4" s="586"/>
      <c r="P4" s="192">
        <f t="shared" si="0"/>
        <v>2617.5600000000004</v>
      </c>
      <c r="R4" s="121">
        <v>4</v>
      </c>
      <c r="S4" s="5">
        <v>1.2</v>
      </c>
      <c r="T4" s="5">
        <v>0.82</v>
      </c>
      <c r="U4" s="119">
        <f t="shared" ref="U4:U9" si="1">S4*2</f>
        <v>2.4</v>
      </c>
      <c r="V4" s="119">
        <f t="shared" ref="V4:V16" si="2">T4*U4</f>
        <v>1.9679999999999997</v>
      </c>
      <c r="W4" s="192">
        <v>0.33333333333332998</v>
      </c>
    </row>
    <row r="5" spans="1:23" ht="14">
      <c r="A5" s="2441"/>
      <c r="B5" s="2444"/>
      <c r="C5" s="2447"/>
      <c r="D5" s="56">
        <v>43696</v>
      </c>
      <c r="E5" s="1106">
        <v>0.125</v>
      </c>
      <c r="F5" s="199">
        <v>7.43</v>
      </c>
      <c r="G5" s="344">
        <v>12.3</v>
      </c>
      <c r="H5" s="344">
        <v>30</v>
      </c>
      <c r="I5" s="199">
        <v>10.44</v>
      </c>
      <c r="J5" s="591">
        <v>37.700000000000003</v>
      </c>
      <c r="K5" s="344">
        <v>20</v>
      </c>
      <c r="L5" s="593">
        <v>0.05</v>
      </c>
      <c r="M5" s="588">
        <v>1</v>
      </c>
      <c r="N5" s="439" t="s">
        <v>849</v>
      </c>
      <c r="O5" s="586"/>
      <c r="P5" s="192">
        <f t="shared" si="0"/>
        <v>1189.8000000000002</v>
      </c>
      <c r="R5" s="120">
        <v>6</v>
      </c>
      <c r="S5" s="5">
        <v>1.3</v>
      </c>
      <c r="T5" s="5">
        <v>2.59</v>
      </c>
      <c r="U5" s="119">
        <f t="shared" si="1"/>
        <v>2.6</v>
      </c>
      <c r="V5" s="119">
        <f t="shared" si="2"/>
        <v>6.734</v>
      </c>
    </row>
    <row r="6" spans="1:23" ht="14">
      <c r="A6" s="2441"/>
      <c r="B6" s="2444"/>
      <c r="C6" s="2447"/>
      <c r="D6" s="56">
        <v>43725</v>
      </c>
      <c r="E6" s="1106">
        <v>0.4236111111111111</v>
      </c>
      <c r="F6" s="199">
        <v>7.79</v>
      </c>
      <c r="G6" s="344">
        <v>7.7</v>
      </c>
      <c r="H6" s="344">
        <v>19.600000000000001</v>
      </c>
      <c r="I6" s="199">
        <v>10.39</v>
      </c>
      <c r="J6" s="591">
        <v>42.5</v>
      </c>
      <c r="K6" s="344">
        <v>11</v>
      </c>
      <c r="L6" s="593">
        <v>0.02</v>
      </c>
      <c r="M6" s="588">
        <v>1</v>
      </c>
      <c r="N6" s="439" t="s">
        <v>849</v>
      </c>
      <c r="O6" s="586"/>
      <c r="P6" s="192">
        <f t="shared" si="0"/>
        <v>654.3900000000001</v>
      </c>
      <c r="R6" s="121">
        <v>8</v>
      </c>
      <c r="S6" s="196">
        <v>0.6</v>
      </c>
      <c r="T6" s="5">
        <v>1.1100000000000001</v>
      </c>
      <c r="U6" s="119">
        <f t="shared" si="1"/>
        <v>1.2</v>
      </c>
      <c r="V6" s="119">
        <f t="shared" si="2"/>
        <v>1.3320000000000001</v>
      </c>
    </row>
    <row r="7" spans="1:23" ht="14">
      <c r="A7" s="2441"/>
      <c r="B7" s="2445"/>
      <c r="C7" s="2448"/>
      <c r="D7" s="56">
        <v>43753</v>
      </c>
      <c r="E7" s="1107">
        <v>0.4201388888888889</v>
      </c>
      <c r="F7" s="342">
        <v>8.5</v>
      </c>
      <c r="G7" s="455">
        <v>0.1</v>
      </c>
      <c r="H7" s="455">
        <v>12</v>
      </c>
      <c r="I7" s="342">
        <v>13.9</v>
      </c>
      <c r="J7" s="455">
        <v>44.5</v>
      </c>
      <c r="K7" s="455">
        <v>12</v>
      </c>
      <c r="L7" s="589">
        <v>0.03</v>
      </c>
      <c r="M7" s="588">
        <v>1</v>
      </c>
      <c r="N7" s="439" t="s">
        <v>849</v>
      </c>
      <c r="O7" s="586"/>
      <c r="P7" s="192">
        <f t="shared" si="0"/>
        <v>713.88</v>
      </c>
      <c r="R7" s="120">
        <v>10</v>
      </c>
      <c r="S7" s="5">
        <v>1.5</v>
      </c>
      <c r="T7" s="5">
        <v>1.63</v>
      </c>
      <c r="U7" s="119">
        <f t="shared" si="1"/>
        <v>3</v>
      </c>
      <c r="V7" s="119">
        <f>T6*U7</f>
        <v>3.33</v>
      </c>
    </row>
    <row r="8" spans="1:23" ht="14">
      <c r="A8" s="2441"/>
      <c r="B8" s="2443" t="s">
        <v>287</v>
      </c>
      <c r="C8" s="2446" t="s">
        <v>312</v>
      </c>
      <c r="D8" s="56">
        <v>43599</v>
      </c>
      <c r="E8" s="1108">
        <v>0.4236111111111111</v>
      </c>
      <c r="F8" s="342">
        <v>7.32</v>
      </c>
      <c r="G8" s="455">
        <v>6.8</v>
      </c>
      <c r="H8" s="455">
        <v>28.8</v>
      </c>
      <c r="I8" s="342">
        <v>13.33</v>
      </c>
      <c r="J8" s="455">
        <v>61.2</v>
      </c>
      <c r="K8" s="455">
        <v>38</v>
      </c>
      <c r="L8" s="589">
        <v>0.05</v>
      </c>
      <c r="M8" s="588">
        <v>1.5</v>
      </c>
      <c r="N8" s="439" t="s">
        <v>849</v>
      </c>
      <c r="O8" s="586">
        <v>0.2</v>
      </c>
      <c r="P8" s="192">
        <f t="shared" si="0"/>
        <v>2260.62</v>
      </c>
      <c r="Q8" s="192">
        <f>SUM(P8:P13)</f>
        <v>14777.316000000001</v>
      </c>
      <c r="R8" s="121">
        <v>12</v>
      </c>
      <c r="S8" s="196"/>
      <c r="T8" s="5">
        <v>1.47</v>
      </c>
      <c r="U8" s="119">
        <f t="shared" si="1"/>
        <v>0</v>
      </c>
      <c r="V8" s="119">
        <f t="shared" si="2"/>
        <v>0</v>
      </c>
    </row>
    <row r="9" spans="1:23" ht="14">
      <c r="A9" s="2441"/>
      <c r="B9" s="2444"/>
      <c r="C9" s="2447"/>
      <c r="D9" s="56">
        <v>43636</v>
      </c>
      <c r="E9" s="1106">
        <v>0.41666666666666669</v>
      </c>
      <c r="F9" s="199">
        <v>7.95</v>
      </c>
      <c r="G9" s="344">
        <v>8.6999999999999993</v>
      </c>
      <c r="H9" s="344">
        <v>22.3</v>
      </c>
      <c r="I9" s="199">
        <v>10.01</v>
      </c>
      <c r="J9" s="591">
        <v>42.5</v>
      </c>
      <c r="K9" s="344">
        <v>87</v>
      </c>
      <c r="L9" s="593">
        <v>0.05</v>
      </c>
      <c r="M9" s="588">
        <v>1</v>
      </c>
      <c r="N9" s="439" t="s">
        <v>849</v>
      </c>
      <c r="O9" s="586"/>
      <c r="P9" s="192">
        <f t="shared" si="0"/>
        <v>5175.63</v>
      </c>
      <c r="R9" s="120">
        <v>14</v>
      </c>
      <c r="S9" s="196"/>
      <c r="T9" s="5">
        <v>1.69</v>
      </c>
      <c r="U9" s="119">
        <f t="shared" si="1"/>
        <v>0</v>
      </c>
      <c r="V9" s="119">
        <f t="shared" si="2"/>
        <v>0</v>
      </c>
    </row>
    <row r="10" spans="1:23" ht="14">
      <c r="A10" s="2441"/>
      <c r="B10" s="2444"/>
      <c r="C10" s="2447"/>
      <c r="D10" s="56">
        <v>43655</v>
      </c>
      <c r="E10" s="1106">
        <v>0.3972222222222222</v>
      </c>
      <c r="F10" s="199">
        <v>7.82</v>
      </c>
      <c r="G10" s="344">
        <v>9.4</v>
      </c>
      <c r="H10" s="344">
        <v>23.1</v>
      </c>
      <c r="I10" s="199">
        <v>10.7</v>
      </c>
      <c r="J10" s="591">
        <v>43.7</v>
      </c>
      <c r="K10" s="344">
        <v>70</v>
      </c>
      <c r="L10" s="593">
        <v>0.05</v>
      </c>
      <c r="M10" s="588">
        <v>1</v>
      </c>
      <c r="N10" s="439" t="s">
        <v>849</v>
      </c>
      <c r="O10" s="586"/>
      <c r="P10" s="192">
        <f t="shared" si="0"/>
        <v>4164.3</v>
      </c>
      <c r="R10" s="121">
        <v>16</v>
      </c>
      <c r="S10" s="5"/>
      <c r="T10" s="5">
        <v>2.5099999999999998</v>
      </c>
      <c r="U10" s="119">
        <f>S10*4</f>
        <v>0</v>
      </c>
      <c r="V10" s="119">
        <f t="shared" si="2"/>
        <v>0</v>
      </c>
    </row>
    <row r="11" spans="1:23" ht="14">
      <c r="A11" s="2441"/>
      <c r="B11" s="2444"/>
      <c r="C11" s="2447"/>
      <c r="D11" s="56">
        <v>43696</v>
      </c>
      <c r="E11" s="1106">
        <v>9.375E-2</v>
      </c>
      <c r="F11" s="199">
        <v>7.36</v>
      </c>
      <c r="G11" s="344">
        <v>14.4</v>
      </c>
      <c r="H11" s="344">
        <v>29.6</v>
      </c>
      <c r="I11" s="199">
        <v>10.4</v>
      </c>
      <c r="J11" s="591">
        <v>47.8</v>
      </c>
      <c r="K11" s="344">
        <v>26</v>
      </c>
      <c r="L11" s="593">
        <v>0.05</v>
      </c>
      <c r="M11" s="588">
        <v>1</v>
      </c>
      <c r="N11" s="439" t="s">
        <v>849</v>
      </c>
      <c r="O11" s="586"/>
      <c r="P11" s="192">
        <f t="shared" si="0"/>
        <v>1546.74</v>
      </c>
      <c r="R11" s="120">
        <v>18</v>
      </c>
      <c r="S11" s="5"/>
      <c r="T11" s="5">
        <v>3.28</v>
      </c>
      <c r="U11" s="119">
        <f>S11*4</f>
        <v>0</v>
      </c>
      <c r="V11" s="119">
        <f t="shared" si="2"/>
        <v>0</v>
      </c>
    </row>
    <row r="12" spans="1:23" ht="14">
      <c r="A12" s="2441"/>
      <c r="B12" s="2444"/>
      <c r="C12" s="2447"/>
      <c r="D12" s="56">
        <v>43725</v>
      </c>
      <c r="E12" s="1106">
        <v>0.44097222222222227</v>
      </c>
      <c r="F12" s="199">
        <v>7.79</v>
      </c>
      <c r="G12" s="344">
        <v>10.199999999999999</v>
      </c>
      <c r="H12" s="591">
        <v>20.7</v>
      </c>
      <c r="I12" s="463">
        <v>10.69</v>
      </c>
      <c r="J12" s="591">
        <v>50.4</v>
      </c>
      <c r="K12" s="344">
        <v>13</v>
      </c>
      <c r="L12" s="593">
        <v>0.1</v>
      </c>
      <c r="M12" s="588">
        <v>3</v>
      </c>
      <c r="N12" s="439" t="s">
        <v>849</v>
      </c>
      <c r="O12" s="586"/>
      <c r="P12" s="192">
        <f t="shared" si="0"/>
        <v>773.37</v>
      </c>
      <c r="R12" s="121">
        <v>20</v>
      </c>
      <c r="S12" s="196"/>
      <c r="T12" s="5">
        <v>0.44</v>
      </c>
      <c r="U12" s="119">
        <f>S12*2</f>
        <v>0</v>
      </c>
      <c r="V12" s="119">
        <f t="shared" si="2"/>
        <v>0</v>
      </c>
    </row>
    <row r="13" spans="1:23" ht="14">
      <c r="A13" s="2441"/>
      <c r="B13" s="2445"/>
      <c r="C13" s="2448"/>
      <c r="D13" s="56">
        <v>43753</v>
      </c>
      <c r="E13" s="1106">
        <v>0.44097222222222227</v>
      </c>
      <c r="F13" s="199">
        <v>8.44</v>
      </c>
      <c r="G13" s="344">
        <v>2</v>
      </c>
      <c r="H13" s="591">
        <v>12</v>
      </c>
      <c r="I13" s="463">
        <v>12.56</v>
      </c>
      <c r="J13" s="591">
        <v>53.6</v>
      </c>
      <c r="K13" s="344">
        <v>14.4</v>
      </c>
      <c r="L13" s="593">
        <v>0.05</v>
      </c>
      <c r="M13" s="588">
        <v>3</v>
      </c>
      <c r="N13" s="439" t="s">
        <v>849</v>
      </c>
      <c r="O13" s="586"/>
      <c r="P13" s="192">
        <f t="shared" si="0"/>
        <v>856.65600000000006</v>
      </c>
      <c r="R13" s="120">
        <v>22</v>
      </c>
      <c r="S13" s="196"/>
      <c r="T13" s="5">
        <v>2.4500000000000002</v>
      </c>
      <c r="U13" s="119">
        <f>S13*2</f>
        <v>0</v>
      </c>
      <c r="V13" s="119">
        <f t="shared" si="2"/>
        <v>0</v>
      </c>
    </row>
    <row r="14" spans="1:23" ht="14">
      <c r="A14" s="2441"/>
      <c r="B14" s="2443" t="s">
        <v>213</v>
      </c>
      <c r="C14" s="2446" t="s">
        <v>521</v>
      </c>
      <c r="D14" s="56">
        <v>43599</v>
      </c>
      <c r="E14" s="1106">
        <v>0.4375</v>
      </c>
      <c r="F14" s="199">
        <v>7.42</v>
      </c>
      <c r="G14" s="344">
        <v>8.1</v>
      </c>
      <c r="H14" s="344">
        <v>27.1</v>
      </c>
      <c r="I14" s="199">
        <v>12.42</v>
      </c>
      <c r="J14" s="591">
        <v>72</v>
      </c>
      <c r="K14" s="344">
        <v>38</v>
      </c>
      <c r="L14" s="593">
        <v>0.08</v>
      </c>
      <c r="M14" s="588">
        <v>2</v>
      </c>
      <c r="N14" s="439" t="s">
        <v>850</v>
      </c>
      <c r="O14" s="586">
        <v>0.6</v>
      </c>
      <c r="P14" s="192">
        <f t="shared" si="0"/>
        <v>2260.62</v>
      </c>
      <c r="Q14" s="192">
        <f>SUM(P14:P19)</f>
        <v>15514.992</v>
      </c>
      <c r="R14" s="121">
        <v>24</v>
      </c>
      <c r="S14" s="196"/>
      <c r="T14" s="341">
        <v>0.1</v>
      </c>
      <c r="U14" s="119">
        <f>S14*2</f>
        <v>0</v>
      </c>
      <c r="V14" s="119">
        <f t="shared" si="2"/>
        <v>0</v>
      </c>
    </row>
    <row r="15" spans="1:23" ht="13">
      <c r="A15" s="2441"/>
      <c r="B15" s="2444"/>
      <c r="C15" s="2447"/>
      <c r="D15" s="56">
        <v>43636</v>
      </c>
      <c r="E15" s="1106">
        <v>0.42708333333333331</v>
      </c>
      <c r="F15" s="199">
        <v>7.92</v>
      </c>
      <c r="G15" s="344">
        <v>9.3000000000000007</v>
      </c>
      <c r="H15" s="344">
        <v>23.5</v>
      </c>
      <c r="I15" s="199">
        <v>9.52</v>
      </c>
      <c r="J15" s="591">
        <v>46.9</v>
      </c>
      <c r="K15" s="344">
        <v>87.8</v>
      </c>
      <c r="L15" s="593">
        <v>0.05</v>
      </c>
      <c r="M15" s="588">
        <v>1</v>
      </c>
      <c r="N15" s="439" t="s">
        <v>850</v>
      </c>
      <c r="O15" s="586"/>
      <c r="P15" s="192">
        <f t="shared" si="0"/>
        <v>5223.2220000000007</v>
      </c>
      <c r="R15" s="120">
        <v>26</v>
      </c>
      <c r="S15" s="196"/>
      <c r="T15" s="341">
        <v>2.0299999999999998</v>
      </c>
      <c r="U15" s="119">
        <f>S15*2</f>
        <v>0</v>
      </c>
      <c r="V15" s="119">
        <f t="shared" si="2"/>
        <v>0</v>
      </c>
    </row>
    <row r="16" spans="1:23" ht="14">
      <c r="A16" s="2441"/>
      <c r="B16" s="2444"/>
      <c r="C16" s="2447"/>
      <c r="D16" s="56">
        <v>43655</v>
      </c>
      <c r="E16" s="1106">
        <v>0.41111111111111115</v>
      </c>
      <c r="F16" s="199">
        <v>7.8</v>
      </c>
      <c r="G16" s="344">
        <v>10.1</v>
      </c>
      <c r="H16" s="344">
        <v>24.7</v>
      </c>
      <c r="I16" s="199">
        <v>10.27</v>
      </c>
      <c r="J16" s="591">
        <v>49.7</v>
      </c>
      <c r="K16" s="344">
        <v>75.7</v>
      </c>
      <c r="L16" s="593">
        <v>0.2</v>
      </c>
      <c r="M16" s="588">
        <v>4</v>
      </c>
      <c r="N16" s="439" t="s">
        <v>849</v>
      </c>
      <c r="O16" s="586"/>
      <c r="P16" s="192">
        <f t="shared" si="0"/>
        <v>4503.393</v>
      </c>
      <c r="R16" s="121">
        <v>28</v>
      </c>
      <c r="S16" s="196"/>
      <c r="T16" s="341">
        <v>3.16</v>
      </c>
      <c r="U16" s="119">
        <f>S16*2</f>
        <v>0</v>
      </c>
      <c r="V16" s="119">
        <f t="shared" si="2"/>
        <v>0</v>
      </c>
    </row>
    <row r="17" spans="1:22">
      <c r="A17" s="2441"/>
      <c r="B17" s="2444"/>
      <c r="C17" s="2447"/>
      <c r="D17" s="56">
        <v>43696</v>
      </c>
      <c r="E17" s="1106">
        <v>7.9861111111111105E-2</v>
      </c>
      <c r="F17" s="199">
        <v>7.44</v>
      </c>
      <c r="G17" s="344">
        <v>15.9</v>
      </c>
      <c r="H17" s="344">
        <v>35.5</v>
      </c>
      <c r="I17" s="199">
        <v>9.77</v>
      </c>
      <c r="J17" s="591">
        <v>61.9</v>
      </c>
      <c r="K17" s="344">
        <v>28</v>
      </c>
      <c r="L17" s="593">
        <v>0.05</v>
      </c>
      <c r="M17" s="588">
        <v>1</v>
      </c>
      <c r="N17" s="439" t="s">
        <v>849</v>
      </c>
      <c r="O17" s="586"/>
      <c r="P17" s="192">
        <f t="shared" si="0"/>
        <v>1665.72</v>
      </c>
      <c r="S17" s="341"/>
      <c r="V17" s="341">
        <f>SUM(V3:V16)</f>
        <v>13.700000000000001</v>
      </c>
    </row>
    <row r="18" spans="1:22">
      <c r="A18" s="2441"/>
      <c r="B18" s="2444"/>
      <c r="C18" s="2447"/>
      <c r="D18" s="56">
        <v>43725</v>
      </c>
      <c r="E18" s="1106">
        <v>0.4513888888888889</v>
      </c>
      <c r="F18" s="199">
        <v>7.88</v>
      </c>
      <c r="G18" s="344">
        <v>11</v>
      </c>
      <c r="H18" s="344">
        <v>21.2</v>
      </c>
      <c r="I18" s="199">
        <v>10.06</v>
      </c>
      <c r="J18" s="591">
        <v>56</v>
      </c>
      <c r="K18" s="344">
        <v>16.399999999999999</v>
      </c>
      <c r="L18" s="593">
        <v>0.08</v>
      </c>
      <c r="M18" s="588">
        <v>2</v>
      </c>
      <c r="N18" s="439" t="s">
        <v>849</v>
      </c>
      <c r="O18" s="586"/>
      <c r="P18" s="192">
        <f t="shared" si="0"/>
        <v>975.63599999999997</v>
      </c>
    </row>
    <row r="19" spans="1:22">
      <c r="A19" s="2442"/>
      <c r="B19" s="2445"/>
      <c r="C19" s="2448"/>
      <c r="D19" s="56">
        <v>43753</v>
      </c>
      <c r="E19" s="1106">
        <v>0.4513888888888889</v>
      </c>
      <c r="F19" s="199">
        <v>8.49</v>
      </c>
      <c r="G19" s="344">
        <v>2.7</v>
      </c>
      <c r="H19" s="344">
        <v>13.5</v>
      </c>
      <c r="I19" s="199">
        <v>13.42</v>
      </c>
      <c r="J19" s="591">
        <v>57.8</v>
      </c>
      <c r="K19" s="344">
        <v>14.9</v>
      </c>
      <c r="L19" s="593">
        <v>0.2</v>
      </c>
      <c r="M19" s="588">
        <v>3</v>
      </c>
      <c r="N19" s="439" t="s">
        <v>849</v>
      </c>
      <c r="O19" s="586"/>
      <c r="P19" s="192">
        <f t="shared" si="0"/>
        <v>886.40100000000007</v>
      </c>
    </row>
    <row r="20" spans="1:22">
      <c r="A20" s="2438" t="s">
        <v>215</v>
      </c>
      <c r="B20" s="2443" t="s">
        <v>164</v>
      </c>
      <c r="C20" s="2446" t="s">
        <v>520</v>
      </c>
      <c r="D20" s="56">
        <v>43599</v>
      </c>
      <c r="E20" s="1106">
        <v>0.4513888888888889</v>
      </c>
      <c r="F20" s="199">
        <v>7.41</v>
      </c>
      <c r="G20" s="344">
        <v>9.4</v>
      </c>
      <c r="H20" s="344">
        <v>27.5</v>
      </c>
      <c r="I20" s="199">
        <v>12.21</v>
      </c>
      <c r="J20" s="591">
        <v>123</v>
      </c>
      <c r="K20" s="344">
        <v>46.5</v>
      </c>
      <c r="L20" s="593">
        <v>0.2</v>
      </c>
      <c r="M20" s="588">
        <v>3</v>
      </c>
      <c r="N20" s="439" t="s">
        <v>850</v>
      </c>
      <c r="O20" s="586">
        <v>0.4</v>
      </c>
      <c r="P20" s="192">
        <f t="shared" si="0"/>
        <v>2766.2850000000003</v>
      </c>
      <c r="Q20" s="192">
        <f>SUM(P20:P25)</f>
        <v>16092.045</v>
      </c>
    </row>
    <row r="21" spans="1:22">
      <c r="A21" s="2439"/>
      <c r="B21" s="2444"/>
      <c r="C21" s="2447"/>
      <c r="D21" s="56">
        <v>43636</v>
      </c>
      <c r="E21" s="1106">
        <v>0.43194444444444446</v>
      </c>
      <c r="F21" s="199">
        <v>7.87</v>
      </c>
      <c r="G21" s="344">
        <v>11.4</v>
      </c>
      <c r="H21" s="344">
        <v>24.5</v>
      </c>
      <c r="I21" s="199">
        <v>9.01</v>
      </c>
      <c r="J21" s="591">
        <v>66.099999999999994</v>
      </c>
      <c r="K21" s="344">
        <v>92</v>
      </c>
      <c r="L21" s="593">
        <v>0.08</v>
      </c>
      <c r="M21" s="588">
        <v>2</v>
      </c>
      <c r="N21" s="439" t="s">
        <v>850</v>
      </c>
      <c r="O21" s="586"/>
      <c r="P21" s="192">
        <f t="shared" si="0"/>
        <v>5473.08</v>
      </c>
    </row>
    <row r="22" spans="1:22">
      <c r="A22" s="2439"/>
      <c r="B22" s="2444"/>
      <c r="C22" s="2447"/>
      <c r="D22" s="56">
        <v>43655</v>
      </c>
      <c r="E22" s="1106">
        <v>0.42499999999999999</v>
      </c>
      <c r="F22" s="199">
        <v>7.52</v>
      </c>
      <c r="G22" s="344">
        <v>13.7</v>
      </c>
      <c r="H22" s="344">
        <v>27</v>
      </c>
      <c r="I22" s="199">
        <v>9.31</v>
      </c>
      <c r="J22" s="591">
        <v>54.9</v>
      </c>
      <c r="K22" s="344">
        <v>80</v>
      </c>
      <c r="L22" s="593">
        <v>0.2</v>
      </c>
      <c r="M22" s="588">
        <v>2</v>
      </c>
      <c r="N22" s="439" t="s">
        <v>850</v>
      </c>
      <c r="O22" s="586"/>
      <c r="P22" s="192">
        <f t="shared" si="0"/>
        <v>4759.2000000000007</v>
      </c>
    </row>
    <row r="23" spans="1:22">
      <c r="A23" s="2439"/>
      <c r="B23" s="2444"/>
      <c r="C23" s="2447"/>
      <c r="D23" s="56">
        <v>43696</v>
      </c>
      <c r="E23" s="1106">
        <v>6.25E-2</v>
      </c>
      <c r="F23" s="199">
        <v>7.87</v>
      </c>
      <c r="G23" s="344">
        <v>17.399999999999999</v>
      </c>
      <c r="H23" s="344">
        <v>32.5</v>
      </c>
      <c r="I23" s="199">
        <v>9.69</v>
      </c>
      <c r="J23" s="591">
        <v>68.3</v>
      </c>
      <c r="K23" s="344">
        <v>27</v>
      </c>
      <c r="L23" s="593">
        <v>0.2</v>
      </c>
      <c r="M23" s="588">
        <v>3</v>
      </c>
      <c r="N23" s="439" t="s">
        <v>850</v>
      </c>
      <c r="O23" s="586"/>
      <c r="P23" s="192">
        <f t="shared" si="0"/>
        <v>1606.23</v>
      </c>
    </row>
    <row r="24" spans="1:22">
      <c r="A24" s="2439"/>
      <c r="B24" s="2444"/>
      <c r="C24" s="2447"/>
      <c r="D24" s="56">
        <v>43725</v>
      </c>
      <c r="E24" s="1106">
        <v>0.46666666666666662</v>
      </c>
      <c r="F24" s="199">
        <v>7.91</v>
      </c>
      <c r="G24" s="344">
        <v>15.3</v>
      </c>
      <c r="H24" s="344">
        <v>22.5</v>
      </c>
      <c r="I24" s="199">
        <v>9.1</v>
      </c>
      <c r="J24" s="591">
        <v>70.900000000000006</v>
      </c>
      <c r="K24" s="344">
        <v>13</v>
      </c>
      <c r="L24" s="593">
        <v>0.7</v>
      </c>
      <c r="M24" s="588">
        <v>4</v>
      </c>
      <c r="N24" s="439" t="s">
        <v>849</v>
      </c>
      <c r="O24" s="586"/>
      <c r="P24" s="192">
        <f t="shared" si="0"/>
        <v>773.37</v>
      </c>
    </row>
    <row r="25" spans="1:22">
      <c r="A25" s="2439"/>
      <c r="B25" s="2445"/>
      <c r="C25" s="2448"/>
      <c r="D25" s="56">
        <v>43753</v>
      </c>
      <c r="E25" s="1106">
        <v>0.46388888888888885</v>
      </c>
      <c r="F25" s="199">
        <v>8.2899999999999991</v>
      </c>
      <c r="G25" s="344">
        <v>7.3</v>
      </c>
      <c r="H25" s="344">
        <v>14.5</v>
      </c>
      <c r="I25" s="199">
        <v>12.29</v>
      </c>
      <c r="J25" s="591">
        <v>70</v>
      </c>
      <c r="K25" s="344">
        <v>12</v>
      </c>
      <c r="L25" s="593">
        <v>0.4</v>
      </c>
      <c r="M25" s="588">
        <v>3</v>
      </c>
      <c r="N25" s="439" t="s">
        <v>849</v>
      </c>
      <c r="O25" s="586"/>
      <c r="P25" s="192">
        <f t="shared" si="0"/>
        <v>713.88</v>
      </c>
    </row>
    <row r="26" spans="1:22">
      <c r="A26" s="2439"/>
      <c r="B26" s="2443" t="s">
        <v>200</v>
      </c>
      <c r="C26" s="2446" t="s">
        <v>245</v>
      </c>
      <c r="D26" s="56">
        <v>43599</v>
      </c>
      <c r="E26" s="1106">
        <v>0.45833333333333331</v>
      </c>
      <c r="F26" s="199">
        <v>7.5</v>
      </c>
      <c r="G26" s="344">
        <v>9.9</v>
      </c>
      <c r="H26" s="344">
        <v>28</v>
      </c>
      <c r="I26" s="199">
        <v>12.08</v>
      </c>
      <c r="J26" s="591">
        <v>137.6</v>
      </c>
      <c r="K26" s="344">
        <v>48</v>
      </c>
      <c r="L26" s="593">
        <v>0.1</v>
      </c>
      <c r="M26" s="588">
        <v>2</v>
      </c>
      <c r="N26" s="439" t="s">
        <v>850</v>
      </c>
      <c r="O26" s="586">
        <v>0.3</v>
      </c>
      <c r="P26" s="192">
        <f t="shared" si="0"/>
        <v>2855.52</v>
      </c>
      <c r="Q26" s="192">
        <f>SUM(P26:P31)</f>
        <v>16389.495000000003</v>
      </c>
    </row>
    <row r="27" spans="1:22">
      <c r="A27" s="2439"/>
      <c r="B27" s="2444"/>
      <c r="C27" s="2447"/>
      <c r="D27" s="56">
        <v>43636</v>
      </c>
      <c r="E27" s="1106">
        <v>0.44444444444444442</v>
      </c>
      <c r="F27" s="199">
        <v>7.58</v>
      </c>
      <c r="G27" s="344">
        <v>12</v>
      </c>
      <c r="H27" s="344">
        <v>24.1</v>
      </c>
      <c r="I27" s="199">
        <v>8.91</v>
      </c>
      <c r="J27" s="591">
        <v>71.900000000000006</v>
      </c>
      <c r="K27" s="344">
        <v>93</v>
      </c>
      <c r="L27" s="593">
        <v>0.08</v>
      </c>
      <c r="M27" s="588">
        <v>2</v>
      </c>
      <c r="N27" s="439" t="s">
        <v>850</v>
      </c>
      <c r="O27" s="586"/>
      <c r="P27" s="192">
        <f t="shared" si="0"/>
        <v>5532.5700000000006</v>
      </c>
    </row>
    <row r="28" spans="1:22">
      <c r="A28" s="2439"/>
      <c r="B28" s="2444"/>
      <c r="C28" s="2447"/>
      <c r="D28" s="56">
        <v>43655</v>
      </c>
      <c r="E28" s="1106">
        <v>0.43055555555555558</v>
      </c>
      <c r="F28" s="199">
        <v>7.62</v>
      </c>
      <c r="G28" s="344">
        <v>14</v>
      </c>
      <c r="H28" s="344">
        <v>25.7</v>
      </c>
      <c r="I28" s="199">
        <v>9.2899999999999991</v>
      </c>
      <c r="J28" s="591">
        <v>73.3</v>
      </c>
      <c r="K28" s="344">
        <v>81</v>
      </c>
      <c r="L28" s="593">
        <v>0.1</v>
      </c>
      <c r="M28" s="588">
        <v>2</v>
      </c>
      <c r="N28" s="439" t="s">
        <v>850</v>
      </c>
      <c r="O28" s="586"/>
      <c r="P28" s="192">
        <f t="shared" si="0"/>
        <v>4818.6900000000005</v>
      </c>
    </row>
    <row r="29" spans="1:22">
      <c r="A29" s="2439"/>
      <c r="B29" s="2444"/>
      <c r="C29" s="2447"/>
      <c r="D29" s="56">
        <v>43696</v>
      </c>
      <c r="E29" s="1106">
        <v>4.1666666666666664E-2</v>
      </c>
      <c r="F29" s="199">
        <v>7.58</v>
      </c>
      <c r="G29" s="344">
        <v>18.899999999999999</v>
      </c>
      <c r="H29" s="344">
        <v>35.1</v>
      </c>
      <c r="I29" s="199">
        <v>9.18</v>
      </c>
      <c r="J29" s="591">
        <v>88.5</v>
      </c>
      <c r="K29" s="344">
        <v>27</v>
      </c>
      <c r="L29" s="593">
        <v>0.05</v>
      </c>
      <c r="M29" s="588">
        <v>1</v>
      </c>
      <c r="N29" s="439" t="s">
        <v>849</v>
      </c>
      <c r="O29" s="586"/>
      <c r="P29" s="192">
        <f t="shared" si="0"/>
        <v>1606.23</v>
      </c>
    </row>
    <row r="30" spans="1:22">
      <c r="A30" s="2439"/>
      <c r="B30" s="2444"/>
      <c r="C30" s="2447"/>
      <c r="D30" s="56">
        <v>43725</v>
      </c>
      <c r="E30" s="1106">
        <v>0.47569444444444442</v>
      </c>
      <c r="F30" s="199">
        <v>8.0500000000000007</v>
      </c>
      <c r="G30" s="344">
        <v>15.5</v>
      </c>
      <c r="H30" s="344">
        <v>22.6</v>
      </c>
      <c r="I30" s="199">
        <v>8.66</v>
      </c>
      <c r="J30" s="591">
        <v>93.6</v>
      </c>
      <c r="K30" s="344">
        <v>14</v>
      </c>
      <c r="L30" s="593">
        <v>0.3</v>
      </c>
      <c r="M30" s="588">
        <v>3</v>
      </c>
      <c r="N30" s="439" t="s">
        <v>849</v>
      </c>
      <c r="O30" s="586"/>
      <c r="P30" s="192">
        <f t="shared" si="0"/>
        <v>832.86</v>
      </c>
    </row>
    <row r="31" spans="1:22">
      <c r="A31" s="2439"/>
      <c r="B31" s="2445"/>
      <c r="C31" s="2448"/>
      <c r="D31" s="56">
        <v>43753</v>
      </c>
      <c r="E31" s="1106">
        <v>0.46875</v>
      </c>
      <c r="F31" s="199">
        <v>8.27</v>
      </c>
      <c r="G31" s="344">
        <v>7.2</v>
      </c>
      <c r="H31" s="344">
        <v>14.4</v>
      </c>
      <c r="I31" s="199">
        <v>12.28</v>
      </c>
      <c r="J31" s="591">
        <v>100.9</v>
      </c>
      <c r="K31" s="344">
        <v>12.5</v>
      </c>
      <c r="L31" s="593">
        <v>0.15</v>
      </c>
      <c r="M31" s="588">
        <v>2</v>
      </c>
      <c r="N31" s="439" t="s">
        <v>849</v>
      </c>
      <c r="O31" s="586"/>
      <c r="P31" s="192">
        <f t="shared" si="0"/>
        <v>743.625</v>
      </c>
    </row>
    <row r="32" spans="1:22">
      <c r="A32" s="2439"/>
      <c r="B32" s="2443" t="s">
        <v>201</v>
      </c>
      <c r="C32" s="2446" t="s">
        <v>523</v>
      </c>
      <c r="D32" s="56">
        <v>43599</v>
      </c>
      <c r="E32" s="1106">
        <v>0.47222222222222227</v>
      </c>
      <c r="F32" s="199">
        <v>7.87</v>
      </c>
      <c r="G32" s="344">
        <v>10.4</v>
      </c>
      <c r="H32" s="344">
        <v>26.6</v>
      </c>
      <c r="I32" s="199">
        <v>12.64</v>
      </c>
      <c r="J32" s="591">
        <v>160.4</v>
      </c>
      <c r="K32" s="344">
        <v>50</v>
      </c>
      <c r="L32" s="593">
        <v>0.1</v>
      </c>
      <c r="M32" s="588">
        <v>3</v>
      </c>
      <c r="N32" s="439" t="s">
        <v>856</v>
      </c>
      <c r="O32" s="586">
        <v>0.45</v>
      </c>
      <c r="P32" s="192">
        <f t="shared" si="0"/>
        <v>2974.5</v>
      </c>
      <c r="Q32" s="192">
        <f>SUM(P32:P37)</f>
        <v>16573.914000000001</v>
      </c>
    </row>
    <row r="33" spans="1:17">
      <c r="A33" s="2439"/>
      <c r="B33" s="2444"/>
      <c r="C33" s="2447"/>
      <c r="D33" s="56">
        <v>43636</v>
      </c>
      <c r="E33" s="1106">
        <v>0.45833333333333331</v>
      </c>
      <c r="F33" s="199">
        <v>7.83</v>
      </c>
      <c r="G33" s="344">
        <v>12.5</v>
      </c>
      <c r="H33" s="344">
        <v>25.7</v>
      </c>
      <c r="I33" s="199">
        <v>8.83</v>
      </c>
      <c r="J33" s="591">
        <v>82.7</v>
      </c>
      <c r="K33" s="344">
        <v>93</v>
      </c>
      <c r="L33" s="593">
        <v>0.05</v>
      </c>
      <c r="M33" s="588">
        <v>1</v>
      </c>
      <c r="N33" s="439" t="s">
        <v>850</v>
      </c>
      <c r="O33" s="586"/>
      <c r="P33" s="192">
        <f t="shared" si="0"/>
        <v>5532.5700000000006</v>
      </c>
    </row>
    <row r="34" spans="1:17">
      <c r="A34" s="2439"/>
      <c r="B34" s="2444"/>
      <c r="C34" s="2447"/>
      <c r="D34" s="56">
        <v>43655</v>
      </c>
      <c r="E34" s="1106">
        <v>0.44444444444444442</v>
      </c>
      <c r="F34" s="199">
        <v>8.0500000000000007</v>
      </c>
      <c r="G34" s="344">
        <v>14.3</v>
      </c>
      <c r="H34" s="344">
        <v>26.9</v>
      </c>
      <c r="I34" s="199">
        <v>9.4700000000000006</v>
      </c>
      <c r="J34" s="591">
        <v>88</v>
      </c>
      <c r="K34" s="344">
        <v>82</v>
      </c>
      <c r="L34" s="593">
        <v>0.05</v>
      </c>
      <c r="M34" s="588">
        <v>1</v>
      </c>
      <c r="N34" s="439" t="s">
        <v>850</v>
      </c>
      <c r="O34" s="586"/>
      <c r="P34" s="192">
        <f t="shared" si="0"/>
        <v>4878.18</v>
      </c>
    </row>
    <row r="35" spans="1:17">
      <c r="A35" s="2439"/>
      <c r="B35" s="2444"/>
      <c r="C35" s="2447"/>
      <c r="D35" s="56">
        <v>43696</v>
      </c>
      <c r="E35" s="1106">
        <v>0.52430555555555558</v>
      </c>
      <c r="F35" s="199">
        <v>7.82</v>
      </c>
      <c r="G35" s="344">
        <v>18.399999999999999</v>
      </c>
      <c r="H35" s="344">
        <v>37.700000000000003</v>
      </c>
      <c r="I35" s="199">
        <v>9.93</v>
      </c>
      <c r="J35" s="591">
        <v>111</v>
      </c>
      <c r="K35" s="344">
        <v>27</v>
      </c>
      <c r="L35" s="593">
        <v>0.05</v>
      </c>
      <c r="M35" s="588">
        <v>1</v>
      </c>
      <c r="N35" s="439" t="s">
        <v>850</v>
      </c>
      <c r="O35" s="586"/>
      <c r="P35" s="192">
        <f t="shared" si="0"/>
        <v>1606.23</v>
      </c>
    </row>
    <row r="36" spans="1:17">
      <c r="A36" s="2439"/>
      <c r="B36" s="2444"/>
      <c r="C36" s="2447"/>
      <c r="D36" s="56">
        <v>43725</v>
      </c>
      <c r="E36" s="1106">
        <v>0.48958333333333331</v>
      </c>
      <c r="F36" s="199">
        <v>7.98</v>
      </c>
      <c r="G36" s="344">
        <v>15.2</v>
      </c>
      <c r="H36" s="344">
        <v>24.4</v>
      </c>
      <c r="I36" s="199">
        <v>9.69</v>
      </c>
      <c r="J36" s="591">
        <v>122.6</v>
      </c>
      <c r="K36" s="344">
        <v>14</v>
      </c>
      <c r="L36" s="593">
        <v>0.05</v>
      </c>
      <c r="M36" s="588">
        <v>1</v>
      </c>
      <c r="N36" s="439" t="s">
        <v>849</v>
      </c>
      <c r="O36" s="586"/>
      <c r="P36" s="192">
        <f t="shared" si="0"/>
        <v>832.86</v>
      </c>
    </row>
    <row r="37" spans="1:17">
      <c r="A37" s="2439"/>
      <c r="B37" s="2445"/>
      <c r="C37" s="2448"/>
      <c r="D37" s="56">
        <v>43753</v>
      </c>
      <c r="E37" s="1106">
        <v>0.4826388888888889</v>
      </c>
      <c r="F37" s="199">
        <v>8.2899999999999991</v>
      </c>
      <c r="G37" s="344">
        <v>6.5</v>
      </c>
      <c r="H37" s="344">
        <v>12.3</v>
      </c>
      <c r="I37" s="199">
        <v>12.88</v>
      </c>
      <c r="J37" s="591">
        <v>116</v>
      </c>
      <c r="K37" s="344">
        <v>12.6</v>
      </c>
      <c r="L37" s="593">
        <v>0.15</v>
      </c>
      <c r="M37" s="588">
        <v>2</v>
      </c>
      <c r="N37" s="439" t="s">
        <v>849</v>
      </c>
      <c r="O37" s="586"/>
      <c r="P37" s="192">
        <f t="shared" si="0"/>
        <v>749.57400000000007</v>
      </c>
    </row>
    <row r="38" spans="1:17">
      <c r="A38" s="2439"/>
      <c r="B38" s="2443" t="s">
        <v>202</v>
      </c>
      <c r="C38" s="2446" t="s">
        <v>524</v>
      </c>
      <c r="D38" s="56">
        <v>43599</v>
      </c>
      <c r="E38" s="1106">
        <v>0.47916666666666669</v>
      </c>
      <c r="F38" s="199">
        <v>7.89</v>
      </c>
      <c r="G38" s="344">
        <v>10.4</v>
      </c>
      <c r="H38" s="344">
        <v>22.7</v>
      </c>
      <c r="I38" s="199">
        <v>11.98</v>
      </c>
      <c r="J38" s="591">
        <v>173.5</v>
      </c>
      <c r="K38" s="344">
        <v>50</v>
      </c>
      <c r="L38" s="593">
        <v>0.08</v>
      </c>
      <c r="M38" s="588">
        <v>2</v>
      </c>
      <c r="N38" s="439" t="s">
        <v>856</v>
      </c>
      <c r="O38" s="586">
        <v>0.6</v>
      </c>
      <c r="P38" s="192">
        <f t="shared" si="0"/>
        <v>2974.5</v>
      </c>
      <c r="Q38" s="192">
        <f>SUM(P38:P43)</f>
        <v>16579.863000000001</v>
      </c>
    </row>
    <row r="39" spans="1:17">
      <c r="A39" s="2439"/>
      <c r="B39" s="2444"/>
      <c r="C39" s="2447"/>
      <c r="D39" s="56">
        <v>43636</v>
      </c>
      <c r="E39" s="1106">
        <v>0.46527777777777773</v>
      </c>
      <c r="F39" s="199">
        <v>7.84</v>
      </c>
      <c r="G39" s="344">
        <v>12.9</v>
      </c>
      <c r="H39" s="344">
        <v>25.7</v>
      </c>
      <c r="I39" s="199">
        <v>9.02</v>
      </c>
      <c r="J39" s="591">
        <v>93.4</v>
      </c>
      <c r="K39" s="344">
        <v>93</v>
      </c>
      <c r="L39" s="593">
        <v>0.05</v>
      </c>
      <c r="M39" s="588">
        <v>1</v>
      </c>
      <c r="N39" s="439" t="s">
        <v>850</v>
      </c>
      <c r="O39" s="586"/>
      <c r="P39" s="192">
        <f t="shared" si="0"/>
        <v>5532.5700000000006</v>
      </c>
    </row>
    <row r="40" spans="1:17">
      <c r="A40" s="2439"/>
      <c r="B40" s="2444"/>
      <c r="C40" s="2447"/>
      <c r="D40" s="56">
        <v>43655</v>
      </c>
      <c r="E40" s="1106">
        <v>0.4548611111111111</v>
      </c>
      <c r="F40" s="199">
        <v>7.84</v>
      </c>
      <c r="G40" s="344">
        <v>14.3</v>
      </c>
      <c r="H40" s="344">
        <v>27.3</v>
      </c>
      <c r="I40" s="199">
        <v>9.26</v>
      </c>
      <c r="J40" s="591">
        <v>106.4</v>
      </c>
      <c r="K40" s="344">
        <v>82</v>
      </c>
      <c r="L40" s="593">
        <v>0.08</v>
      </c>
      <c r="M40" s="588">
        <v>1.5</v>
      </c>
      <c r="N40" s="439" t="s">
        <v>850</v>
      </c>
      <c r="O40" s="586"/>
      <c r="P40" s="192">
        <f t="shared" si="0"/>
        <v>4878.18</v>
      </c>
    </row>
    <row r="41" spans="1:17">
      <c r="A41" s="2439"/>
      <c r="B41" s="2444"/>
      <c r="C41" s="2447"/>
      <c r="D41" s="56">
        <v>43696</v>
      </c>
      <c r="E41" s="1106">
        <v>0.5</v>
      </c>
      <c r="F41" s="199">
        <v>7.83</v>
      </c>
      <c r="G41" s="344">
        <v>17.100000000000001</v>
      </c>
      <c r="H41" s="344">
        <v>37</v>
      </c>
      <c r="I41" s="199">
        <v>9.9700000000000006</v>
      </c>
      <c r="J41" s="591">
        <v>124.4</v>
      </c>
      <c r="K41" s="344">
        <v>27</v>
      </c>
      <c r="L41" s="593">
        <v>0.08</v>
      </c>
      <c r="M41" s="588">
        <v>2</v>
      </c>
      <c r="N41" s="439" t="s">
        <v>850</v>
      </c>
      <c r="O41" s="586"/>
      <c r="P41" s="192">
        <f t="shared" si="0"/>
        <v>1606.23</v>
      </c>
    </row>
    <row r="42" spans="1:17">
      <c r="A42" s="2439"/>
      <c r="B42" s="2444"/>
      <c r="C42" s="2447"/>
      <c r="D42" s="56">
        <v>43725</v>
      </c>
      <c r="E42" s="1106">
        <v>0.49652777777777773</v>
      </c>
      <c r="F42" s="199">
        <v>7.91</v>
      </c>
      <c r="G42" s="344">
        <v>14.9</v>
      </c>
      <c r="H42" s="344">
        <v>24.5</v>
      </c>
      <c r="I42" s="199">
        <v>9.23</v>
      </c>
      <c r="J42" s="591">
        <v>168.9</v>
      </c>
      <c r="K42" s="344">
        <v>14</v>
      </c>
      <c r="L42" s="593">
        <v>0.05</v>
      </c>
      <c r="M42" s="588">
        <v>1</v>
      </c>
      <c r="N42" s="439" t="s">
        <v>850</v>
      </c>
      <c r="O42" s="586"/>
      <c r="P42" s="192">
        <f t="shared" si="0"/>
        <v>832.86</v>
      </c>
    </row>
    <row r="43" spans="1:17">
      <c r="A43" s="2439"/>
      <c r="B43" s="2445"/>
      <c r="C43" s="2448"/>
      <c r="D43" s="56">
        <v>43753</v>
      </c>
      <c r="E43" s="1106">
        <v>0.48958333333333331</v>
      </c>
      <c r="F43" s="199">
        <v>8.25</v>
      </c>
      <c r="G43" s="344">
        <v>5.6</v>
      </c>
      <c r="H43" s="344">
        <v>12.5</v>
      </c>
      <c r="I43" s="199">
        <v>13.92</v>
      </c>
      <c r="J43" s="591">
        <v>158.19999999999999</v>
      </c>
      <c r="K43" s="344">
        <v>12.7</v>
      </c>
      <c r="L43" s="593">
        <v>0.2</v>
      </c>
      <c r="M43" s="588">
        <v>3</v>
      </c>
      <c r="N43" s="439" t="s">
        <v>849</v>
      </c>
      <c r="O43" s="586"/>
      <c r="P43" s="192">
        <f t="shared" si="0"/>
        <v>755.52300000000002</v>
      </c>
    </row>
    <row r="44" spans="1:17">
      <c r="A44" s="2439"/>
      <c r="B44" s="2443" t="s">
        <v>203</v>
      </c>
      <c r="C44" s="2446" t="s">
        <v>525</v>
      </c>
      <c r="D44" s="56">
        <v>43599</v>
      </c>
      <c r="E44" s="1106">
        <v>0.48958333333333331</v>
      </c>
      <c r="F44" s="199">
        <v>7.82</v>
      </c>
      <c r="G44" s="344">
        <v>10.8</v>
      </c>
      <c r="H44" s="344">
        <v>23</v>
      </c>
      <c r="I44" s="199">
        <v>12.17</v>
      </c>
      <c r="J44" s="591">
        <v>186.2</v>
      </c>
      <c r="K44" s="344">
        <v>51</v>
      </c>
      <c r="L44" s="593">
        <v>0.08</v>
      </c>
      <c r="M44" s="588">
        <v>2</v>
      </c>
      <c r="N44" s="439" t="s">
        <v>856</v>
      </c>
      <c r="O44" s="586">
        <v>0.4</v>
      </c>
      <c r="P44" s="192">
        <f t="shared" si="0"/>
        <v>3033.9900000000002</v>
      </c>
      <c r="Q44" s="192">
        <f>SUM(P44:P49)</f>
        <v>16716.690000000002</v>
      </c>
    </row>
    <row r="45" spans="1:17">
      <c r="A45" s="2439"/>
      <c r="B45" s="2444"/>
      <c r="C45" s="2447"/>
      <c r="D45" s="56">
        <v>43636</v>
      </c>
      <c r="E45" s="1106">
        <v>0.43402777777777773</v>
      </c>
      <c r="F45" s="199">
        <v>7.72</v>
      </c>
      <c r="G45" s="344">
        <v>13.1</v>
      </c>
      <c r="H45" s="344">
        <v>24.7</v>
      </c>
      <c r="I45" s="199">
        <v>8.76</v>
      </c>
      <c r="J45" s="591">
        <v>92.6</v>
      </c>
      <c r="K45" s="344">
        <v>93</v>
      </c>
      <c r="L45" s="593">
        <v>0.15</v>
      </c>
      <c r="M45" s="588">
        <v>3</v>
      </c>
      <c r="N45" s="439" t="s">
        <v>856</v>
      </c>
      <c r="O45" s="586"/>
      <c r="P45" s="192">
        <f t="shared" si="0"/>
        <v>5532.5700000000006</v>
      </c>
    </row>
    <row r="46" spans="1:17">
      <c r="A46" s="2439"/>
      <c r="B46" s="2444"/>
      <c r="C46" s="2447"/>
      <c r="D46" s="56">
        <v>43655</v>
      </c>
      <c r="E46" s="1106">
        <v>0.46180555555555558</v>
      </c>
      <c r="F46" s="199">
        <v>7.89</v>
      </c>
      <c r="G46" s="344">
        <v>14.5</v>
      </c>
      <c r="H46" s="344">
        <v>27.1</v>
      </c>
      <c r="I46" s="199">
        <v>9.19</v>
      </c>
      <c r="J46" s="591">
        <v>104.6</v>
      </c>
      <c r="K46" s="344">
        <v>82</v>
      </c>
      <c r="L46" s="593">
        <v>0.08</v>
      </c>
      <c r="M46" s="588">
        <v>2</v>
      </c>
      <c r="N46" s="439" t="s">
        <v>850</v>
      </c>
      <c r="O46" s="586"/>
      <c r="P46" s="192">
        <f t="shared" si="0"/>
        <v>4878.18</v>
      </c>
    </row>
    <row r="47" spans="1:17">
      <c r="A47" s="2439"/>
      <c r="B47" s="2444"/>
      <c r="C47" s="2447"/>
      <c r="D47" s="56">
        <v>43696</v>
      </c>
      <c r="E47" s="1106">
        <v>0.4826388888888889</v>
      </c>
      <c r="F47" s="199">
        <v>8</v>
      </c>
      <c r="G47" s="344">
        <v>16.7</v>
      </c>
      <c r="H47" s="344">
        <v>34.799999999999997</v>
      </c>
      <c r="I47" s="199">
        <v>10.210000000000001</v>
      </c>
      <c r="J47" s="591">
        <v>124.7</v>
      </c>
      <c r="K47" s="344">
        <v>27</v>
      </c>
      <c r="L47" s="593">
        <v>0.05</v>
      </c>
      <c r="M47" s="588">
        <v>1</v>
      </c>
      <c r="N47" s="439" t="s">
        <v>850</v>
      </c>
      <c r="O47" s="586"/>
      <c r="P47" s="192">
        <f t="shared" si="0"/>
        <v>1606.23</v>
      </c>
    </row>
    <row r="48" spans="1:17">
      <c r="A48" s="2439"/>
      <c r="B48" s="2444"/>
      <c r="C48" s="2447"/>
      <c r="D48" s="56">
        <v>43725</v>
      </c>
      <c r="E48" s="1106">
        <v>0.51041666666666663</v>
      </c>
      <c r="F48" s="199">
        <v>7.84</v>
      </c>
      <c r="G48" s="344">
        <v>14.7</v>
      </c>
      <c r="H48" s="344">
        <v>25.6</v>
      </c>
      <c r="I48" s="199">
        <v>9.4</v>
      </c>
      <c r="J48" s="591">
        <v>172.1</v>
      </c>
      <c r="K48" s="344">
        <v>15</v>
      </c>
      <c r="L48" s="593">
        <v>0.18</v>
      </c>
      <c r="M48" s="588">
        <v>2</v>
      </c>
      <c r="N48" s="439" t="s">
        <v>850</v>
      </c>
      <c r="O48" s="586"/>
      <c r="P48" s="192">
        <f t="shared" si="0"/>
        <v>892.35</v>
      </c>
    </row>
    <row r="49" spans="1:17">
      <c r="A49" s="2439"/>
      <c r="B49" s="2445"/>
      <c r="C49" s="2448"/>
      <c r="D49" s="56">
        <v>43753</v>
      </c>
      <c r="E49" s="1106">
        <v>0.5</v>
      </c>
      <c r="F49" s="199">
        <v>8.1999999999999993</v>
      </c>
      <c r="G49" s="344">
        <v>5.7</v>
      </c>
      <c r="H49" s="344">
        <v>13.3</v>
      </c>
      <c r="I49" s="199">
        <v>12.86</v>
      </c>
      <c r="J49" s="591">
        <v>168.9</v>
      </c>
      <c r="K49" s="344">
        <v>13</v>
      </c>
      <c r="L49" s="593">
        <v>0.15</v>
      </c>
      <c r="M49" s="588">
        <v>2</v>
      </c>
      <c r="N49" s="439" t="s">
        <v>849</v>
      </c>
      <c r="O49" s="586"/>
      <c r="P49" s="192">
        <f t="shared" si="0"/>
        <v>773.37</v>
      </c>
    </row>
    <row r="50" spans="1:17">
      <c r="A50" s="2439"/>
      <c r="B50" s="2332" t="s">
        <v>204</v>
      </c>
      <c r="C50" s="2331" t="s">
        <v>526</v>
      </c>
      <c r="D50" s="56">
        <v>43599</v>
      </c>
      <c r="E50" s="1106">
        <v>0.37847222222222227</v>
      </c>
      <c r="F50" s="199">
        <v>7.96</v>
      </c>
      <c r="G50" s="344">
        <v>9.8000000000000007</v>
      </c>
      <c r="H50" s="344">
        <v>19.600000000000001</v>
      </c>
      <c r="I50" s="199">
        <v>10.050000000000001</v>
      </c>
      <c r="J50" s="591">
        <v>226</v>
      </c>
      <c r="K50" s="344">
        <v>23.5</v>
      </c>
      <c r="L50" s="593">
        <v>0.08</v>
      </c>
      <c r="M50" s="588">
        <v>3</v>
      </c>
      <c r="N50" s="439" t="s">
        <v>850</v>
      </c>
      <c r="O50" s="586">
        <v>0.4</v>
      </c>
      <c r="P50" s="192">
        <f t="shared" si="0"/>
        <v>1398.0150000000001</v>
      </c>
      <c r="Q50" s="192">
        <f>SUM(P50:P55)</f>
        <v>13867.119000000002</v>
      </c>
    </row>
    <row r="51" spans="1:17">
      <c r="A51" s="2439"/>
      <c r="B51" s="2332"/>
      <c r="C51" s="2331"/>
      <c r="D51" s="56">
        <v>43636</v>
      </c>
      <c r="E51" s="1106">
        <v>0.35416666666666669</v>
      </c>
      <c r="F51" s="199">
        <v>8.17</v>
      </c>
      <c r="G51" s="344">
        <v>9.6</v>
      </c>
      <c r="H51" s="344">
        <v>16.2</v>
      </c>
      <c r="I51" s="199">
        <v>11.07</v>
      </c>
      <c r="J51" s="591">
        <v>113.8</v>
      </c>
      <c r="K51" s="344">
        <v>81</v>
      </c>
      <c r="L51" s="593">
        <v>0.05</v>
      </c>
      <c r="M51" s="588">
        <v>1</v>
      </c>
      <c r="N51" s="439" t="s">
        <v>856</v>
      </c>
      <c r="O51" s="586"/>
      <c r="P51" s="192">
        <f t="shared" si="0"/>
        <v>4818.6900000000005</v>
      </c>
    </row>
    <row r="52" spans="1:17">
      <c r="A52" s="2439"/>
      <c r="B52" s="2332"/>
      <c r="C52" s="2331"/>
      <c r="D52" s="56">
        <v>43655</v>
      </c>
      <c r="E52" s="1106">
        <v>0.47222222222222227</v>
      </c>
      <c r="F52" s="199">
        <v>7.84</v>
      </c>
      <c r="G52" s="344">
        <v>14.9</v>
      </c>
      <c r="H52" s="344">
        <v>27.5</v>
      </c>
      <c r="I52" s="199">
        <v>9.34</v>
      </c>
      <c r="J52" s="591">
        <v>103</v>
      </c>
      <c r="K52" s="344">
        <v>71.599999999999994</v>
      </c>
      <c r="L52" s="593">
        <v>0.08</v>
      </c>
      <c r="M52" s="588">
        <v>2</v>
      </c>
      <c r="N52" s="439" t="s">
        <v>850</v>
      </c>
      <c r="O52" s="586"/>
      <c r="P52" s="192">
        <f t="shared" si="0"/>
        <v>4259.4840000000004</v>
      </c>
    </row>
    <row r="53" spans="1:17">
      <c r="A53" s="2439"/>
      <c r="B53" s="2332"/>
      <c r="C53" s="2331"/>
      <c r="D53" s="56">
        <v>43696</v>
      </c>
      <c r="E53" s="1106">
        <v>0.46527777777777773</v>
      </c>
      <c r="F53" s="199">
        <v>8.0399999999999991</v>
      </c>
      <c r="G53" s="344">
        <v>15.8</v>
      </c>
      <c r="H53" s="344">
        <v>34.299999999999997</v>
      </c>
      <c r="I53" s="199">
        <v>10.29</v>
      </c>
      <c r="J53" s="591">
        <v>119.5</v>
      </c>
      <c r="K53" s="344">
        <v>26</v>
      </c>
      <c r="L53" s="593">
        <v>0.05</v>
      </c>
      <c r="M53" s="588">
        <v>1</v>
      </c>
      <c r="N53" s="439" t="s">
        <v>850</v>
      </c>
      <c r="O53" s="586"/>
      <c r="P53" s="192">
        <f t="shared" si="0"/>
        <v>1546.74</v>
      </c>
    </row>
    <row r="54" spans="1:17">
      <c r="A54" s="2439"/>
      <c r="B54" s="2332"/>
      <c r="C54" s="2331"/>
      <c r="D54" s="56">
        <v>43725</v>
      </c>
      <c r="E54" s="1106">
        <v>0.39583333333333331</v>
      </c>
      <c r="F54" s="199">
        <v>7.26</v>
      </c>
      <c r="G54" s="344">
        <v>13.5</v>
      </c>
      <c r="H54" s="344">
        <v>21.8</v>
      </c>
      <c r="I54" s="199">
        <v>9.69</v>
      </c>
      <c r="J54" s="591">
        <v>202.2</v>
      </c>
      <c r="K54" s="344">
        <v>17.3</v>
      </c>
      <c r="L54" s="593">
        <v>0.2</v>
      </c>
      <c r="M54" s="588">
        <v>3</v>
      </c>
      <c r="N54" s="439" t="s">
        <v>850</v>
      </c>
      <c r="O54" s="586"/>
      <c r="P54" s="192">
        <f t="shared" si="0"/>
        <v>1029.1770000000001</v>
      </c>
    </row>
    <row r="55" spans="1:17">
      <c r="A55" s="2439"/>
      <c r="B55" s="2332"/>
      <c r="C55" s="2331"/>
      <c r="D55" s="56">
        <v>43753</v>
      </c>
      <c r="E55" s="1106">
        <v>0.51041666666666663</v>
      </c>
      <c r="F55" s="199">
        <v>8.2100000000000009</v>
      </c>
      <c r="G55" s="344">
        <v>6</v>
      </c>
      <c r="H55" s="344">
        <v>14.9</v>
      </c>
      <c r="I55" s="199">
        <v>12.82</v>
      </c>
      <c r="J55" s="591">
        <v>187.9</v>
      </c>
      <c r="K55" s="344">
        <v>13.7</v>
      </c>
      <c r="L55" s="593">
        <v>0.25</v>
      </c>
      <c r="M55" s="588">
        <v>3</v>
      </c>
      <c r="N55" s="439" t="s">
        <v>849</v>
      </c>
      <c r="O55" s="586"/>
      <c r="P55" s="192">
        <f t="shared" si="0"/>
        <v>815.01300000000003</v>
      </c>
    </row>
    <row r="56" spans="1:17">
      <c r="A56" s="2333" t="s">
        <v>220</v>
      </c>
      <c r="B56" s="2443" t="s">
        <v>207</v>
      </c>
      <c r="C56" s="2446" t="s">
        <v>527</v>
      </c>
      <c r="D56" s="56">
        <v>43599</v>
      </c>
      <c r="E56" s="1106">
        <v>0.39097222222222222</v>
      </c>
      <c r="F56" s="199">
        <v>7.57</v>
      </c>
      <c r="G56" s="344">
        <v>5.2</v>
      </c>
      <c r="H56" s="344">
        <v>23.6</v>
      </c>
      <c r="I56" s="199">
        <v>13.58</v>
      </c>
      <c r="J56" s="591">
        <v>86.1</v>
      </c>
      <c r="K56" s="344">
        <v>6.9</v>
      </c>
      <c r="L56" s="593">
        <v>0.08</v>
      </c>
      <c r="M56" s="588">
        <v>2</v>
      </c>
      <c r="N56" s="439" t="s">
        <v>849</v>
      </c>
      <c r="O56" s="586">
        <v>0.2</v>
      </c>
      <c r="P56" s="192">
        <f t="shared" si="0"/>
        <v>410.48099999999999</v>
      </c>
      <c r="Q56" s="192">
        <f>SUM(P56:P61)</f>
        <v>2397.4470000000001</v>
      </c>
    </row>
    <row r="57" spans="1:17">
      <c r="A57" s="2333"/>
      <c r="B57" s="2444"/>
      <c r="C57" s="2447"/>
      <c r="D57" s="56">
        <v>43636</v>
      </c>
      <c r="E57" s="1106">
        <v>0.38194444444444442</v>
      </c>
      <c r="F57" s="199">
        <v>8.2799999999999994</v>
      </c>
      <c r="G57" s="344">
        <v>7.5</v>
      </c>
      <c r="H57" s="344">
        <v>19.5</v>
      </c>
      <c r="I57" s="199">
        <v>9.68</v>
      </c>
      <c r="J57" s="591">
        <v>59.7</v>
      </c>
      <c r="K57" s="344">
        <v>18</v>
      </c>
      <c r="L57" s="593">
        <v>0.05</v>
      </c>
      <c r="M57" s="588">
        <v>1</v>
      </c>
      <c r="N57" s="439" t="s">
        <v>849</v>
      </c>
      <c r="O57" s="586"/>
      <c r="P57" s="192">
        <f t="shared" si="0"/>
        <v>1070.8200000000002</v>
      </c>
    </row>
    <row r="58" spans="1:17">
      <c r="A58" s="2333"/>
      <c r="B58" s="2444"/>
      <c r="C58" s="2447"/>
      <c r="D58" s="56">
        <v>43655</v>
      </c>
      <c r="E58" s="1106">
        <v>0.36458333333333331</v>
      </c>
      <c r="F58" s="199">
        <v>7.98</v>
      </c>
      <c r="G58" s="344">
        <v>8</v>
      </c>
      <c r="H58" s="344">
        <v>22.5</v>
      </c>
      <c r="I58" s="199">
        <v>10.71</v>
      </c>
      <c r="J58" s="591">
        <v>59.7</v>
      </c>
      <c r="K58" s="344">
        <v>9.1</v>
      </c>
      <c r="L58" s="593">
        <v>0.25</v>
      </c>
      <c r="M58" s="588">
        <v>3</v>
      </c>
      <c r="N58" s="439" t="s">
        <v>849</v>
      </c>
      <c r="O58" s="586"/>
      <c r="P58" s="192">
        <f t="shared" si="0"/>
        <v>541.35900000000004</v>
      </c>
    </row>
    <row r="59" spans="1:17">
      <c r="A59" s="2333"/>
      <c r="B59" s="2444"/>
      <c r="C59" s="2447"/>
      <c r="D59" s="56">
        <v>43696</v>
      </c>
      <c r="E59" s="1106">
        <v>0.1111111111111111</v>
      </c>
      <c r="F59" s="199">
        <v>7.52</v>
      </c>
      <c r="G59" s="344">
        <v>15.4</v>
      </c>
      <c r="H59" s="344">
        <v>31.3</v>
      </c>
      <c r="I59" s="199">
        <v>9.43</v>
      </c>
      <c r="J59" s="591">
        <v>64.5</v>
      </c>
      <c r="K59" s="344">
        <v>3</v>
      </c>
      <c r="L59" s="593">
        <v>0.08</v>
      </c>
      <c r="M59" s="588">
        <v>2</v>
      </c>
      <c r="N59" s="439" t="s">
        <v>849</v>
      </c>
      <c r="O59" s="586"/>
      <c r="P59" s="192">
        <f t="shared" si="0"/>
        <v>178.47</v>
      </c>
    </row>
    <row r="60" spans="1:17">
      <c r="A60" s="2333"/>
      <c r="B60" s="2444"/>
      <c r="C60" s="2447"/>
      <c r="D60" s="56">
        <v>43725</v>
      </c>
      <c r="E60" s="1106">
        <v>0.40625</v>
      </c>
      <c r="F60" s="199">
        <v>7.78</v>
      </c>
      <c r="G60" s="344">
        <v>9.5</v>
      </c>
      <c r="H60" s="344">
        <v>18.7</v>
      </c>
      <c r="I60" s="199">
        <v>10.199999999999999</v>
      </c>
      <c r="J60" s="591">
        <v>73</v>
      </c>
      <c r="K60" s="344">
        <v>1</v>
      </c>
      <c r="L60" s="593">
        <v>0.03</v>
      </c>
      <c r="M60" s="588">
        <v>1</v>
      </c>
      <c r="N60" s="439" t="s">
        <v>849</v>
      </c>
      <c r="O60" s="586"/>
      <c r="P60" s="192">
        <f t="shared" si="0"/>
        <v>59.49</v>
      </c>
    </row>
    <row r="61" spans="1:17">
      <c r="A61" s="2333"/>
      <c r="B61" s="2445"/>
      <c r="C61" s="2448"/>
      <c r="D61" s="56">
        <v>43753</v>
      </c>
      <c r="E61" s="1106">
        <v>0.40277777777777773</v>
      </c>
      <c r="F61" s="199">
        <v>8.5500000000000007</v>
      </c>
      <c r="G61" s="344">
        <v>0.4</v>
      </c>
      <c r="H61" s="344">
        <v>10.7</v>
      </c>
      <c r="I61" s="199">
        <v>13.17</v>
      </c>
      <c r="J61" s="591">
        <v>68.8</v>
      </c>
      <c r="K61" s="344">
        <v>2.2999999999999998</v>
      </c>
      <c r="L61" s="593">
        <v>0.08</v>
      </c>
      <c r="M61" s="588">
        <v>2</v>
      </c>
      <c r="N61" s="439" t="s">
        <v>849</v>
      </c>
      <c r="O61" s="586"/>
      <c r="P61" s="192">
        <f t="shared" ref="P61:P97" si="3">K61*1.983*30</f>
        <v>136.827</v>
      </c>
    </row>
    <row r="62" spans="1:17">
      <c r="A62" s="2441" t="s">
        <v>491</v>
      </c>
      <c r="B62" s="2446" t="s">
        <v>1387</v>
      </c>
      <c r="C62" s="2446" t="s">
        <v>528</v>
      </c>
      <c r="D62" s="56">
        <v>43599</v>
      </c>
      <c r="E62" s="1106">
        <v>0.3888888888888889</v>
      </c>
      <c r="F62" s="199">
        <v>7.82</v>
      </c>
      <c r="G62" s="344">
        <v>8</v>
      </c>
      <c r="H62" s="344">
        <v>19.600000000000001</v>
      </c>
      <c r="I62" s="199">
        <v>10.43</v>
      </c>
      <c r="J62" s="591">
        <v>1910</v>
      </c>
      <c r="K62" s="344">
        <v>1.6</v>
      </c>
      <c r="L62" s="593">
        <v>0.3</v>
      </c>
      <c r="M62" s="588">
        <v>4</v>
      </c>
      <c r="N62" s="439" t="s">
        <v>849</v>
      </c>
      <c r="O62" s="586">
        <v>0.25</v>
      </c>
      <c r="P62" s="192">
        <f t="shared" si="3"/>
        <v>95.184000000000012</v>
      </c>
      <c r="Q62" s="192">
        <f>SUM(P62:P67)</f>
        <v>178.47</v>
      </c>
    </row>
    <row r="63" spans="1:17">
      <c r="A63" s="2441"/>
      <c r="B63" s="2447"/>
      <c r="C63" s="2447"/>
      <c r="D63" s="56">
        <v>43636</v>
      </c>
      <c r="E63" s="1106">
        <v>0.36458333333333331</v>
      </c>
      <c r="F63" s="199">
        <v>8</v>
      </c>
      <c r="G63" s="344">
        <v>8.3000000000000007</v>
      </c>
      <c r="H63" s="344">
        <v>16.399999999999999</v>
      </c>
      <c r="I63" s="199">
        <v>11.08</v>
      </c>
      <c r="J63" s="591">
        <v>1866</v>
      </c>
      <c r="K63" s="344">
        <v>1.4</v>
      </c>
      <c r="L63" s="593">
        <v>0.25</v>
      </c>
      <c r="M63" s="588">
        <v>4</v>
      </c>
      <c r="N63" s="439" t="s">
        <v>849</v>
      </c>
      <c r="O63" s="586"/>
      <c r="P63" s="192">
        <f t="shared" si="3"/>
        <v>83.285999999999987</v>
      </c>
    </row>
    <row r="64" spans="1:17">
      <c r="A64" s="2441"/>
      <c r="B64" s="2447"/>
      <c r="C64" s="2447"/>
      <c r="D64" s="56">
        <v>43655</v>
      </c>
      <c r="E64" s="1106"/>
      <c r="F64" s="199"/>
      <c r="G64" s="344"/>
      <c r="H64" s="344"/>
      <c r="I64" s="199"/>
      <c r="J64" s="591"/>
      <c r="K64" s="344"/>
      <c r="L64" s="593"/>
      <c r="M64" s="588"/>
      <c r="N64" s="439"/>
      <c r="O64" s="586"/>
      <c r="P64" s="192">
        <f t="shared" si="3"/>
        <v>0</v>
      </c>
    </row>
    <row r="65" spans="1:17">
      <c r="A65" s="2441"/>
      <c r="B65" s="2447"/>
      <c r="C65" s="2447"/>
      <c r="D65" s="56">
        <v>43696</v>
      </c>
      <c r="E65" s="1106"/>
      <c r="F65" s="199"/>
      <c r="G65" s="344"/>
      <c r="H65" s="344"/>
      <c r="I65" s="199"/>
      <c r="J65" s="591"/>
      <c r="K65" s="344"/>
      <c r="L65" s="593"/>
      <c r="M65" s="588"/>
      <c r="N65" s="439"/>
      <c r="O65" s="586"/>
      <c r="P65" s="192">
        <f t="shared" si="3"/>
        <v>0</v>
      </c>
    </row>
    <row r="66" spans="1:17">
      <c r="A66" s="2441"/>
      <c r="B66" s="2447"/>
      <c r="C66" s="2447"/>
      <c r="D66" s="56">
        <v>43725</v>
      </c>
      <c r="E66" s="1106"/>
      <c r="F66" s="199"/>
      <c r="G66" s="344"/>
      <c r="H66" s="344"/>
      <c r="I66" s="199"/>
      <c r="J66" s="591"/>
      <c r="K66" s="344"/>
      <c r="L66" s="593"/>
      <c r="M66" s="588"/>
      <c r="N66" s="439"/>
      <c r="O66" s="586"/>
      <c r="P66" s="192">
        <f t="shared" si="3"/>
        <v>0</v>
      </c>
    </row>
    <row r="67" spans="1:17">
      <c r="A67" s="2442"/>
      <c r="B67" s="2448"/>
      <c r="C67" s="2448"/>
      <c r="D67" s="56">
        <v>43753</v>
      </c>
      <c r="E67" s="1106"/>
      <c r="F67" s="199"/>
      <c r="G67" s="344"/>
      <c r="H67" s="344"/>
      <c r="I67" s="199"/>
      <c r="J67" s="591"/>
      <c r="K67" s="344"/>
      <c r="L67" s="593"/>
      <c r="M67" s="588"/>
      <c r="N67" s="439"/>
      <c r="O67" s="586"/>
      <c r="P67" s="192">
        <f t="shared" si="3"/>
        <v>0</v>
      </c>
    </row>
    <row r="68" spans="1:17">
      <c r="A68" s="2438" t="s">
        <v>222</v>
      </c>
      <c r="B68" s="2443" t="s">
        <v>1259</v>
      </c>
      <c r="C68" s="2446" t="s">
        <v>1260</v>
      </c>
      <c r="D68" s="56">
        <v>43599</v>
      </c>
      <c r="E68" s="1106">
        <v>0.44444444444444442</v>
      </c>
      <c r="F68" s="199">
        <v>7.24</v>
      </c>
      <c r="G68" s="344">
        <v>6.9</v>
      </c>
      <c r="H68" s="344">
        <v>28.1</v>
      </c>
      <c r="I68" s="199">
        <v>13.32</v>
      </c>
      <c r="J68" s="591">
        <v>184.5</v>
      </c>
      <c r="K68" s="344">
        <v>8.5</v>
      </c>
      <c r="L68" s="593">
        <v>0.08</v>
      </c>
      <c r="M68" s="588">
        <v>2</v>
      </c>
      <c r="N68" s="439" t="s">
        <v>849</v>
      </c>
      <c r="O68" s="586">
        <v>0.4</v>
      </c>
      <c r="P68" s="192">
        <f t="shared" si="3"/>
        <v>505.66499999999996</v>
      </c>
      <c r="Q68" s="192">
        <f>SUM(P68:P73)</f>
        <v>2308.212</v>
      </c>
    </row>
    <row r="69" spans="1:17">
      <c r="A69" s="2439"/>
      <c r="B69" s="2444"/>
      <c r="C69" s="2447"/>
      <c r="D69" s="56">
        <v>43636</v>
      </c>
      <c r="E69" s="1106">
        <v>0.4375</v>
      </c>
      <c r="F69" s="199">
        <v>7.76</v>
      </c>
      <c r="G69" s="344">
        <v>10.3</v>
      </c>
      <c r="H69" s="344">
        <v>24.4</v>
      </c>
      <c r="I69" s="199">
        <v>10.75</v>
      </c>
      <c r="J69" s="591">
        <v>152.1</v>
      </c>
      <c r="K69" s="344">
        <v>24</v>
      </c>
      <c r="L69" s="593">
        <v>0.05</v>
      </c>
      <c r="M69" s="588">
        <v>2</v>
      </c>
      <c r="N69" s="439" t="s">
        <v>856</v>
      </c>
      <c r="O69" s="586"/>
      <c r="P69" s="192">
        <f t="shared" si="3"/>
        <v>1427.76</v>
      </c>
    </row>
    <row r="70" spans="1:17">
      <c r="A70" s="2439"/>
      <c r="B70" s="2444"/>
      <c r="C70" s="2447"/>
      <c r="D70" s="56">
        <v>43655</v>
      </c>
      <c r="E70" s="1106">
        <v>0.41666666666666669</v>
      </c>
      <c r="F70" s="199">
        <v>7.76</v>
      </c>
      <c r="G70" s="344">
        <v>10.8</v>
      </c>
      <c r="H70" s="344">
        <v>25.4</v>
      </c>
      <c r="I70" s="199">
        <v>9.8000000000000007</v>
      </c>
      <c r="J70" s="591">
        <v>175.3</v>
      </c>
      <c r="K70" s="344">
        <v>4</v>
      </c>
      <c r="L70" s="593">
        <v>0.08</v>
      </c>
      <c r="M70" s="588">
        <v>2</v>
      </c>
      <c r="N70" s="439" t="s">
        <v>850</v>
      </c>
      <c r="O70" s="586"/>
      <c r="P70" s="192">
        <f t="shared" si="3"/>
        <v>237.96</v>
      </c>
    </row>
    <row r="71" spans="1:17">
      <c r="A71" s="2439"/>
      <c r="B71" s="2444"/>
      <c r="C71" s="2447"/>
      <c r="D71" s="56">
        <v>43696</v>
      </c>
      <c r="E71" s="1106">
        <v>0.3923611111111111</v>
      </c>
      <c r="F71" s="199">
        <v>8.09</v>
      </c>
      <c r="G71" s="344">
        <v>11.4</v>
      </c>
      <c r="H71" s="344">
        <v>26.3</v>
      </c>
      <c r="I71" s="199">
        <v>10.4</v>
      </c>
      <c r="J71" s="591">
        <v>238.2</v>
      </c>
      <c r="K71" s="344">
        <v>0.8</v>
      </c>
      <c r="L71" s="593">
        <v>0.2</v>
      </c>
      <c r="M71" s="588">
        <v>3</v>
      </c>
      <c r="N71" s="439" t="s">
        <v>849</v>
      </c>
      <c r="O71" s="586"/>
      <c r="P71" s="192">
        <f t="shared" si="3"/>
        <v>47.592000000000006</v>
      </c>
    </row>
    <row r="72" spans="1:17">
      <c r="A72" s="2439"/>
      <c r="B72" s="2444"/>
      <c r="C72" s="2447"/>
      <c r="D72" s="56">
        <v>43725</v>
      </c>
      <c r="E72" s="1106">
        <v>0.45833333333333331</v>
      </c>
      <c r="F72" s="199">
        <v>7.75</v>
      </c>
      <c r="G72" s="344">
        <v>11.2</v>
      </c>
      <c r="H72" s="344">
        <v>22</v>
      </c>
      <c r="I72" s="199">
        <v>9.64</v>
      </c>
      <c r="J72" s="591">
        <v>272.3</v>
      </c>
      <c r="K72" s="344">
        <v>0.72</v>
      </c>
      <c r="L72" s="593">
        <v>0.3</v>
      </c>
      <c r="M72" s="588">
        <v>2</v>
      </c>
      <c r="N72" s="439" t="s">
        <v>849</v>
      </c>
      <c r="O72" s="586"/>
      <c r="P72" s="192">
        <f t="shared" si="3"/>
        <v>42.832799999999999</v>
      </c>
    </row>
    <row r="73" spans="1:17">
      <c r="A73" s="2439"/>
      <c r="B73" s="2445"/>
      <c r="C73" s="2448"/>
      <c r="D73" s="56">
        <v>43753</v>
      </c>
      <c r="E73" s="1106">
        <v>0.45833333333333331</v>
      </c>
      <c r="F73" s="199">
        <v>8.26</v>
      </c>
      <c r="G73" s="344">
        <v>2.4</v>
      </c>
      <c r="H73" s="344">
        <v>14.2</v>
      </c>
      <c r="I73" s="199">
        <v>12.68</v>
      </c>
      <c r="J73" s="591">
        <v>2677.4</v>
      </c>
      <c r="K73" s="344">
        <v>0.78</v>
      </c>
      <c r="L73" s="593">
        <v>0.1</v>
      </c>
      <c r="M73" s="588">
        <v>2</v>
      </c>
      <c r="N73" s="439" t="s">
        <v>849</v>
      </c>
      <c r="O73" s="586"/>
      <c r="P73" s="192">
        <f t="shared" si="3"/>
        <v>46.402200000000008</v>
      </c>
    </row>
    <row r="74" spans="1:17">
      <c r="A74" s="2439"/>
      <c r="B74" s="2443" t="s">
        <v>357</v>
      </c>
      <c r="C74" s="2446" t="s">
        <v>359</v>
      </c>
      <c r="D74" s="56">
        <v>43599</v>
      </c>
      <c r="E74" s="1106">
        <v>0.36458333333333331</v>
      </c>
      <c r="F74" s="199">
        <v>7.3</v>
      </c>
      <c r="G74" s="344">
        <v>7.1</v>
      </c>
      <c r="H74" s="344">
        <v>19</v>
      </c>
      <c r="I74" s="199">
        <v>12.55</v>
      </c>
      <c r="J74" s="591">
        <v>772</v>
      </c>
      <c r="K74" s="344">
        <v>0.2</v>
      </c>
      <c r="L74" s="593">
        <v>0.2</v>
      </c>
      <c r="M74" s="588">
        <v>3</v>
      </c>
      <c r="N74" s="439" t="s">
        <v>849</v>
      </c>
      <c r="O74" s="586">
        <v>0.2</v>
      </c>
      <c r="P74" s="192">
        <f t="shared" si="3"/>
        <v>11.898000000000001</v>
      </c>
      <c r="Q74" s="192">
        <f>SUM(P74:P79)</f>
        <v>71.388000000000005</v>
      </c>
    </row>
    <row r="75" spans="1:17">
      <c r="A75" s="2439"/>
      <c r="B75" s="2444"/>
      <c r="C75" s="2447"/>
      <c r="D75" s="56">
        <v>43636</v>
      </c>
      <c r="E75" s="1106">
        <v>0.3611111111111111</v>
      </c>
      <c r="F75" s="199">
        <v>8.2100000000000009</v>
      </c>
      <c r="G75" s="344">
        <v>10.1</v>
      </c>
      <c r="H75" s="344">
        <v>22.2</v>
      </c>
      <c r="I75" s="199">
        <v>8.8699999999999992</v>
      </c>
      <c r="J75" s="591">
        <v>774</v>
      </c>
      <c r="K75" s="344">
        <v>0.13</v>
      </c>
      <c r="L75" s="593">
        <v>0.3</v>
      </c>
      <c r="M75" s="588">
        <v>5</v>
      </c>
      <c r="N75" s="439" t="s">
        <v>849</v>
      </c>
      <c r="O75" s="586"/>
      <c r="P75" s="192">
        <f t="shared" si="3"/>
        <v>7.7337000000000007</v>
      </c>
    </row>
    <row r="76" spans="1:17">
      <c r="A76" s="2439"/>
      <c r="B76" s="2444"/>
      <c r="C76" s="2447"/>
      <c r="D76" s="56">
        <v>43655</v>
      </c>
      <c r="E76" s="1106">
        <v>0.34375</v>
      </c>
      <c r="F76" s="199">
        <v>7.96</v>
      </c>
      <c r="G76" s="344">
        <v>9.9</v>
      </c>
      <c r="H76" s="344">
        <v>20.9</v>
      </c>
      <c r="I76" s="199">
        <v>9.6</v>
      </c>
      <c r="J76" s="591">
        <v>776</v>
      </c>
      <c r="K76" s="344">
        <v>0.45</v>
      </c>
      <c r="L76" s="593">
        <v>0.2</v>
      </c>
      <c r="M76" s="588">
        <v>3</v>
      </c>
      <c r="N76" s="439" t="s">
        <v>849</v>
      </c>
      <c r="O76" s="586"/>
      <c r="P76" s="192">
        <f t="shared" si="3"/>
        <v>26.770500000000002</v>
      </c>
    </row>
    <row r="77" spans="1:17">
      <c r="A77" s="2439"/>
      <c r="B77" s="2444"/>
      <c r="C77" s="2447"/>
      <c r="D77" s="56">
        <v>43696</v>
      </c>
      <c r="E77" s="1106">
        <v>0.37847222222222227</v>
      </c>
      <c r="F77" s="199">
        <v>7.89</v>
      </c>
      <c r="G77" s="344">
        <v>11.5</v>
      </c>
      <c r="H77" s="344">
        <v>26.8</v>
      </c>
      <c r="I77" s="199">
        <v>9.73</v>
      </c>
      <c r="J77" s="591">
        <v>798</v>
      </c>
      <c r="K77" s="344">
        <v>0.2</v>
      </c>
      <c r="L77" s="593">
        <v>0.1</v>
      </c>
      <c r="M77" s="588">
        <v>2</v>
      </c>
      <c r="N77" s="439" t="s">
        <v>849</v>
      </c>
      <c r="O77" s="586"/>
      <c r="P77" s="192">
        <f t="shared" si="3"/>
        <v>11.898000000000001</v>
      </c>
    </row>
    <row r="78" spans="1:17">
      <c r="A78" s="2439"/>
      <c r="B78" s="2444"/>
      <c r="C78" s="2447"/>
      <c r="D78" s="56">
        <v>43725</v>
      </c>
      <c r="E78" s="1106">
        <v>0.38541666666666669</v>
      </c>
      <c r="F78" s="199">
        <v>7.46</v>
      </c>
      <c r="G78" s="344">
        <v>11</v>
      </c>
      <c r="H78" s="344">
        <v>19.2</v>
      </c>
      <c r="I78" s="199">
        <v>9.1</v>
      </c>
      <c r="J78" s="591">
        <v>797</v>
      </c>
      <c r="K78" s="344">
        <v>0.12</v>
      </c>
      <c r="L78" s="593">
        <v>0.1</v>
      </c>
      <c r="M78" s="588">
        <v>2</v>
      </c>
      <c r="N78" s="439" t="s">
        <v>849</v>
      </c>
      <c r="O78" s="586"/>
      <c r="P78" s="192">
        <f t="shared" si="3"/>
        <v>7.1387999999999998</v>
      </c>
    </row>
    <row r="79" spans="1:17">
      <c r="A79" s="2439"/>
      <c r="B79" s="2445"/>
      <c r="C79" s="2448"/>
      <c r="D79" s="56">
        <v>43753</v>
      </c>
      <c r="E79" s="1106">
        <v>0.38194444444444442</v>
      </c>
      <c r="F79" s="199">
        <v>8.4600000000000009</v>
      </c>
      <c r="G79" s="344">
        <v>3.9</v>
      </c>
      <c r="H79" s="344">
        <v>11.7</v>
      </c>
      <c r="I79" s="199">
        <v>12.02</v>
      </c>
      <c r="J79" s="591">
        <v>810</v>
      </c>
      <c r="K79" s="344">
        <v>0.1</v>
      </c>
      <c r="L79" s="593">
        <v>0.5</v>
      </c>
      <c r="M79" s="588">
        <v>4</v>
      </c>
      <c r="N79" s="439" t="s">
        <v>849</v>
      </c>
      <c r="O79" s="586"/>
      <c r="P79" s="192">
        <f t="shared" si="3"/>
        <v>5.9490000000000007</v>
      </c>
    </row>
    <row r="80" spans="1:17">
      <c r="A80" s="2439"/>
      <c r="B80" s="2443" t="s">
        <v>498</v>
      </c>
      <c r="C80" s="2446" t="s">
        <v>358</v>
      </c>
      <c r="D80" s="56">
        <v>43599</v>
      </c>
      <c r="E80" s="1106">
        <v>0.46527777777777773</v>
      </c>
      <c r="F80" s="199">
        <v>7.86</v>
      </c>
      <c r="G80" s="344">
        <v>10.3</v>
      </c>
      <c r="H80" s="344">
        <v>27</v>
      </c>
      <c r="I80" s="199">
        <v>12.25</v>
      </c>
      <c r="J80" s="591">
        <v>731</v>
      </c>
      <c r="K80" s="344">
        <v>1.6</v>
      </c>
      <c r="L80" s="593">
        <v>0.1</v>
      </c>
      <c r="M80" s="588">
        <v>3</v>
      </c>
      <c r="N80" s="439" t="s">
        <v>849</v>
      </c>
      <c r="O80" s="586">
        <v>0.45</v>
      </c>
      <c r="P80" s="192">
        <f t="shared" si="3"/>
        <v>95.184000000000012</v>
      </c>
      <c r="Q80" s="192">
        <f>SUM(P80:P85)</f>
        <v>761.47199999999998</v>
      </c>
    </row>
    <row r="81" spans="1:17">
      <c r="A81" s="2439"/>
      <c r="B81" s="2444"/>
      <c r="C81" s="2447"/>
      <c r="D81" s="56">
        <v>43636</v>
      </c>
      <c r="E81" s="1106">
        <v>0.4513888888888889</v>
      </c>
      <c r="F81" s="199">
        <v>7.71</v>
      </c>
      <c r="G81" s="344">
        <v>12.1</v>
      </c>
      <c r="H81" s="344">
        <v>24.9</v>
      </c>
      <c r="I81" s="199">
        <v>8.65</v>
      </c>
      <c r="J81" s="591">
        <v>738</v>
      </c>
      <c r="K81" s="344">
        <v>3.6</v>
      </c>
      <c r="L81" s="593">
        <v>0.3</v>
      </c>
      <c r="M81" s="588">
        <v>5</v>
      </c>
      <c r="N81" s="439" t="s">
        <v>849</v>
      </c>
      <c r="O81" s="586"/>
      <c r="P81" s="192">
        <f t="shared" si="3"/>
        <v>214.16400000000002</v>
      </c>
    </row>
    <row r="82" spans="1:17">
      <c r="A82" s="2439"/>
      <c r="B82" s="2444"/>
      <c r="C82" s="2447"/>
      <c r="D82" s="56">
        <v>43655</v>
      </c>
      <c r="E82" s="1106">
        <v>0.4375</v>
      </c>
      <c r="F82" s="199">
        <v>7.78</v>
      </c>
      <c r="G82" s="344">
        <v>12.3</v>
      </c>
      <c r="H82" s="344">
        <v>26.8</v>
      </c>
      <c r="I82" s="199">
        <v>9.27</v>
      </c>
      <c r="J82" s="591">
        <v>739</v>
      </c>
      <c r="K82" s="344">
        <v>2.2000000000000002</v>
      </c>
      <c r="L82" s="593">
        <v>0.2</v>
      </c>
      <c r="M82" s="588">
        <v>2</v>
      </c>
      <c r="N82" s="439" t="s">
        <v>850</v>
      </c>
      <c r="O82" s="586"/>
      <c r="P82" s="192">
        <f t="shared" si="3"/>
        <v>130.87800000000001</v>
      </c>
    </row>
    <row r="83" spans="1:17">
      <c r="A83" s="2439"/>
      <c r="B83" s="2444"/>
      <c r="C83" s="2447"/>
      <c r="D83" s="56">
        <v>43696</v>
      </c>
      <c r="E83" s="1106">
        <v>0.40277777777777773</v>
      </c>
      <c r="F83" s="199">
        <v>7.95</v>
      </c>
      <c r="G83" s="344">
        <v>12.3</v>
      </c>
      <c r="H83" s="344">
        <v>27.9</v>
      </c>
      <c r="I83" s="199">
        <v>10.85</v>
      </c>
      <c r="J83" s="591">
        <v>795</v>
      </c>
      <c r="K83" s="344">
        <v>2</v>
      </c>
      <c r="L83" s="593">
        <v>0.4</v>
      </c>
      <c r="M83" s="588">
        <v>4</v>
      </c>
      <c r="N83" s="439" t="s">
        <v>849</v>
      </c>
      <c r="O83" s="586"/>
      <c r="P83" s="192">
        <f t="shared" si="3"/>
        <v>118.98</v>
      </c>
    </row>
    <row r="84" spans="1:17">
      <c r="A84" s="2439"/>
      <c r="B84" s="2444"/>
      <c r="C84" s="2447"/>
      <c r="D84" s="56">
        <v>43725</v>
      </c>
      <c r="E84" s="1106">
        <v>0.4826388888888889</v>
      </c>
      <c r="F84" s="199">
        <v>7.7</v>
      </c>
      <c r="G84" s="344">
        <v>12.5</v>
      </c>
      <c r="H84" s="344">
        <v>23</v>
      </c>
      <c r="I84" s="199">
        <v>9.32</v>
      </c>
      <c r="J84" s="591">
        <v>680</v>
      </c>
      <c r="K84" s="344">
        <v>2</v>
      </c>
      <c r="L84" s="593">
        <v>0.2</v>
      </c>
      <c r="M84" s="588">
        <v>3</v>
      </c>
      <c r="N84" s="439" t="s">
        <v>849</v>
      </c>
      <c r="O84" s="586"/>
      <c r="P84" s="192">
        <f t="shared" si="3"/>
        <v>118.98</v>
      </c>
    </row>
    <row r="85" spans="1:17">
      <c r="A85" s="2440"/>
      <c r="B85" s="2445"/>
      <c r="C85" s="2448"/>
      <c r="D85" s="56">
        <v>43753</v>
      </c>
      <c r="E85" s="1106">
        <v>0.47569444444444442</v>
      </c>
      <c r="F85" s="199">
        <v>8.14</v>
      </c>
      <c r="G85" s="344">
        <v>5.9</v>
      </c>
      <c r="H85" s="344">
        <v>128</v>
      </c>
      <c r="I85" s="199">
        <v>12.25</v>
      </c>
      <c r="J85" s="591">
        <v>652.79999999999995</v>
      </c>
      <c r="K85" s="344">
        <v>1.4</v>
      </c>
      <c r="L85" s="593">
        <v>0.05</v>
      </c>
      <c r="M85" s="588">
        <v>1</v>
      </c>
      <c r="N85" s="439" t="s">
        <v>849</v>
      </c>
      <c r="O85" s="586"/>
      <c r="P85" s="192">
        <f t="shared" si="3"/>
        <v>83.285999999999987</v>
      </c>
    </row>
    <row r="86" spans="1:17">
      <c r="A86" s="2438" t="s">
        <v>224</v>
      </c>
      <c r="B86" s="2443" t="s">
        <v>205</v>
      </c>
      <c r="C86" s="2446" t="s">
        <v>529</v>
      </c>
      <c r="D86" s="56">
        <v>43599</v>
      </c>
      <c r="E86" s="1106">
        <v>0.51388888888888895</v>
      </c>
      <c r="F86" s="199">
        <v>7.87</v>
      </c>
      <c r="G86" s="344">
        <v>11.4</v>
      </c>
      <c r="H86" s="344">
        <v>18.7</v>
      </c>
      <c r="I86" s="199">
        <v>10.029999999999999</v>
      </c>
      <c r="J86" s="591">
        <v>1522</v>
      </c>
      <c r="K86" s="344">
        <v>1.2</v>
      </c>
      <c r="L86" s="593">
        <v>0.2</v>
      </c>
      <c r="M86" s="588">
        <v>2</v>
      </c>
      <c r="N86" s="439" t="s">
        <v>849</v>
      </c>
      <c r="O86" s="586">
        <v>0.15</v>
      </c>
      <c r="P86" s="192">
        <f t="shared" si="3"/>
        <v>71.388000000000005</v>
      </c>
      <c r="Q86" s="192">
        <f>SUM(P86:P91)</f>
        <v>110.6514</v>
      </c>
    </row>
    <row r="87" spans="1:17">
      <c r="A87" s="2439"/>
      <c r="B87" s="2444"/>
      <c r="C87" s="2447"/>
      <c r="D87" s="56">
        <v>43636</v>
      </c>
      <c r="E87" s="1106">
        <v>0.49652777777777773</v>
      </c>
      <c r="F87" s="199">
        <v>7.5</v>
      </c>
      <c r="G87" s="344">
        <v>16.100000000000001</v>
      </c>
      <c r="H87" s="344">
        <v>21.6</v>
      </c>
      <c r="I87" s="199">
        <v>7.22</v>
      </c>
      <c r="J87" s="591">
        <v>1315</v>
      </c>
      <c r="K87" s="344">
        <v>0.26</v>
      </c>
      <c r="L87" s="593">
        <v>0.8</v>
      </c>
      <c r="M87" s="588">
        <v>5</v>
      </c>
      <c r="N87" s="439" t="s">
        <v>849</v>
      </c>
      <c r="O87" s="586"/>
      <c r="P87" s="192">
        <f t="shared" si="3"/>
        <v>15.467400000000001</v>
      </c>
    </row>
    <row r="88" spans="1:17">
      <c r="A88" s="2439"/>
      <c r="B88" s="2444"/>
      <c r="C88" s="2447"/>
      <c r="D88" s="56">
        <v>43655</v>
      </c>
      <c r="E88" s="1106">
        <v>0.48958333333333331</v>
      </c>
      <c r="F88" s="199">
        <v>7.58</v>
      </c>
      <c r="G88" s="344">
        <v>15.7</v>
      </c>
      <c r="H88" s="344">
        <v>29.3</v>
      </c>
      <c r="I88" s="199">
        <v>6.85</v>
      </c>
      <c r="J88" s="591">
        <v>1471</v>
      </c>
      <c r="K88" s="344">
        <v>0.1</v>
      </c>
      <c r="L88" s="593">
        <v>1</v>
      </c>
      <c r="M88" s="588">
        <v>5</v>
      </c>
      <c r="N88" s="439" t="s">
        <v>850</v>
      </c>
      <c r="O88" s="586"/>
      <c r="P88" s="192">
        <f t="shared" si="3"/>
        <v>5.9490000000000007</v>
      </c>
    </row>
    <row r="89" spans="1:17">
      <c r="A89" s="2439"/>
      <c r="B89" s="2444"/>
      <c r="C89" s="2447"/>
      <c r="D89" s="56">
        <v>43696</v>
      </c>
      <c r="E89" s="1106">
        <v>0.42708333333333331</v>
      </c>
      <c r="F89" s="199">
        <v>7.79</v>
      </c>
      <c r="G89" s="344">
        <v>14.9</v>
      </c>
      <c r="H89" s="344">
        <v>29.5</v>
      </c>
      <c r="I89" s="199">
        <v>8.66</v>
      </c>
      <c r="J89" s="591">
        <v>1002</v>
      </c>
      <c r="K89" s="344">
        <v>0.1</v>
      </c>
      <c r="L89" s="593">
        <v>0.5</v>
      </c>
      <c r="M89" s="588">
        <v>5</v>
      </c>
      <c r="N89" s="439" t="s">
        <v>849</v>
      </c>
      <c r="O89" s="586"/>
      <c r="P89" s="192">
        <f t="shared" si="3"/>
        <v>5.9490000000000007</v>
      </c>
    </row>
    <row r="90" spans="1:17">
      <c r="A90" s="2439"/>
      <c r="B90" s="2444"/>
      <c r="C90" s="2447"/>
      <c r="D90" s="56">
        <v>43725</v>
      </c>
      <c r="E90" s="1106">
        <v>0.53125</v>
      </c>
      <c r="F90" s="199">
        <v>7.69</v>
      </c>
      <c r="G90" s="344">
        <v>14.8</v>
      </c>
      <c r="H90" s="344">
        <v>28</v>
      </c>
      <c r="I90" s="199">
        <v>8.77</v>
      </c>
      <c r="J90" s="591">
        <v>1808</v>
      </c>
      <c r="K90" s="344">
        <v>0.1</v>
      </c>
      <c r="L90" s="593">
        <v>1</v>
      </c>
      <c r="M90" s="588">
        <v>5</v>
      </c>
      <c r="N90" s="439" t="s">
        <v>849</v>
      </c>
      <c r="O90" s="586"/>
      <c r="P90" s="192">
        <f t="shared" si="3"/>
        <v>5.9490000000000007</v>
      </c>
    </row>
    <row r="91" spans="1:17">
      <c r="A91" s="2440"/>
      <c r="B91" s="2445"/>
      <c r="C91" s="2448"/>
      <c r="D91" s="56">
        <v>43753</v>
      </c>
      <c r="E91" s="1106">
        <v>0.52430555555555558</v>
      </c>
      <c r="F91" s="199">
        <v>7.94</v>
      </c>
      <c r="G91" s="344">
        <v>5.2</v>
      </c>
      <c r="H91" s="344">
        <v>14.6</v>
      </c>
      <c r="I91" s="199">
        <v>12.93</v>
      </c>
      <c r="J91" s="591">
        <v>1827</v>
      </c>
      <c r="K91" s="344">
        <v>0.1</v>
      </c>
      <c r="L91" s="593">
        <v>0.5</v>
      </c>
      <c r="M91" s="588">
        <v>4</v>
      </c>
      <c r="N91" s="439" t="s">
        <v>849</v>
      </c>
      <c r="O91" s="586"/>
      <c r="P91" s="192">
        <f t="shared" si="3"/>
        <v>5.9490000000000007</v>
      </c>
    </row>
    <row r="92" spans="1:17">
      <c r="A92" s="2333" t="s">
        <v>857</v>
      </c>
      <c r="B92" s="2332" t="s">
        <v>206</v>
      </c>
      <c r="C92" s="2331" t="s">
        <v>530</v>
      </c>
      <c r="D92" s="56">
        <v>43599</v>
      </c>
      <c r="E92" s="1106">
        <v>0.52430555555555558</v>
      </c>
      <c r="F92" s="199">
        <v>7.7</v>
      </c>
      <c r="G92" s="344">
        <v>7.8</v>
      </c>
      <c r="H92" s="344">
        <v>19.8</v>
      </c>
      <c r="I92" s="199">
        <v>12.73</v>
      </c>
      <c r="J92" s="591">
        <v>312.2</v>
      </c>
      <c r="K92" s="344">
        <v>2.8</v>
      </c>
      <c r="L92" s="593">
        <v>0.4</v>
      </c>
      <c r="M92" s="588">
        <v>5</v>
      </c>
      <c r="N92" s="439" t="s">
        <v>849</v>
      </c>
      <c r="O92" s="586">
        <v>0.45</v>
      </c>
      <c r="P92" s="192">
        <f t="shared" si="3"/>
        <v>166.57199999999997</v>
      </c>
      <c r="Q92" s="192">
        <f>SUM(P92:P97)</f>
        <v>424.16370000000001</v>
      </c>
    </row>
    <row r="93" spans="1:17">
      <c r="A93" s="2333"/>
      <c r="B93" s="2332"/>
      <c r="C93" s="2331"/>
      <c r="D93" s="56">
        <v>43636</v>
      </c>
      <c r="E93" s="1106">
        <v>0.50694444444444442</v>
      </c>
      <c r="F93" s="199">
        <v>7.66</v>
      </c>
      <c r="G93" s="344">
        <v>12.5</v>
      </c>
      <c r="H93" s="344">
        <v>22.1</v>
      </c>
      <c r="I93" s="199">
        <v>8.52</v>
      </c>
      <c r="J93" s="591">
        <v>223.2</v>
      </c>
      <c r="K93" s="344">
        <v>1.1000000000000001</v>
      </c>
      <c r="L93" s="593">
        <v>0.2</v>
      </c>
      <c r="M93" s="588">
        <v>3</v>
      </c>
      <c r="N93" s="439" t="s">
        <v>849</v>
      </c>
      <c r="O93" s="586"/>
      <c r="P93" s="192">
        <f t="shared" si="3"/>
        <v>65.439000000000007</v>
      </c>
    </row>
    <row r="94" spans="1:17">
      <c r="A94" s="2333"/>
      <c r="B94" s="2332"/>
      <c r="C94" s="2331"/>
      <c r="D94" s="56">
        <v>43655</v>
      </c>
      <c r="E94" s="1106">
        <v>0.49722222222222223</v>
      </c>
      <c r="F94" s="199">
        <v>7.93</v>
      </c>
      <c r="G94" s="344">
        <v>12.2</v>
      </c>
      <c r="H94" s="344">
        <v>29.6</v>
      </c>
      <c r="I94" s="199">
        <v>9.14</v>
      </c>
      <c r="J94" s="591">
        <v>336.4</v>
      </c>
      <c r="K94" s="344">
        <v>1.6</v>
      </c>
      <c r="L94" s="593">
        <v>0.5</v>
      </c>
      <c r="M94" s="588">
        <v>5</v>
      </c>
      <c r="N94" s="439" t="s">
        <v>849</v>
      </c>
      <c r="O94" s="586"/>
      <c r="P94" s="192">
        <f t="shared" si="3"/>
        <v>95.184000000000012</v>
      </c>
    </row>
    <row r="95" spans="1:17">
      <c r="A95" s="2333"/>
      <c r="B95" s="2332"/>
      <c r="C95" s="2331"/>
      <c r="D95" s="56">
        <v>43696</v>
      </c>
      <c r="E95" s="1106">
        <v>0.4375</v>
      </c>
      <c r="F95" s="199">
        <v>7.93</v>
      </c>
      <c r="G95" s="344">
        <v>11.2</v>
      </c>
      <c r="H95" s="344">
        <v>28.8</v>
      </c>
      <c r="I95" s="199">
        <v>9.49</v>
      </c>
      <c r="J95" s="591">
        <v>600.79999999999995</v>
      </c>
      <c r="K95" s="344">
        <v>0.8</v>
      </c>
      <c r="L95" s="593">
        <v>0.5</v>
      </c>
      <c r="M95" s="588">
        <v>2</v>
      </c>
      <c r="N95" s="439" t="s">
        <v>849</v>
      </c>
      <c r="O95" s="586"/>
      <c r="P95" s="192">
        <f t="shared" si="3"/>
        <v>47.592000000000006</v>
      </c>
    </row>
    <row r="96" spans="1:17">
      <c r="A96" s="2333"/>
      <c r="B96" s="2332"/>
      <c r="C96" s="2331"/>
      <c r="D96" s="56">
        <v>43725</v>
      </c>
      <c r="E96" s="1106">
        <v>4.1666666666666664E-2</v>
      </c>
      <c r="F96" s="199">
        <v>7.85</v>
      </c>
      <c r="G96" s="344">
        <v>11.6</v>
      </c>
      <c r="H96" s="344">
        <v>28.6</v>
      </c>
      <c r="I96" s="199">
        <v>9.1300000000000008</v>
      </c>
      <c r="J96" s="591">
        <v>678.8</v>
      </c>
      <c r="K96" s="344">
        <v>0.5</v>
      </c>
      <c r="L96" s="593">
        <v>0.8</v>
      </c>
      <c r="M96" s="588">
        <v>4</v>
      </c>
      <c r="N96" s="439" t="s">
        <v>849</v>
      </c>
      <c r="O96" s="586"/>
      <c r="P96" s="192">
        <f t="shared" si="3"/>
        <v>29.745000000000001</v>
      </c>
    </row>
    <row r="97" spans="1:16">
      <c r="A97" s="2333"/>
      <c r="B97" s="2332"/>
      <c r="C97" s="2331"/>
      <c r="D97" s="56">
        <v>43753</v>
      </c>
      <c r="E97" s="1106">
        <v>0.53819444444444442</v>
      </c>
      <c r="F97" s="199">
        <v>8.09</v>
      </c>
      <c r="G97" s="344">
        <v>3.2</v>
      </c>
      <c r="H97" s="344">
        <v>16.2</v>
      </c>
      <c r="I97" s="199">
        <v>12.89</v>
      </c>
      <c r="J97" s="591">
        <v>750</v>
      </c>
      <c r="K97" s="344">
        <v>0.33</v>
      </c>
      <c r="L97" s="593">
        <v>0.5</v>
      </c>
      <c r="M97" s="588">
        <v>4</v>
      </c>
      <c r="N97" s="439" t="s">
        <v>849</v>
      </c>
      <c r="O97" s="586"/>
      <c r="P97" s="192">
        <f t="shared" si="3"/>
        <v>19.631700000000002</v>
      </c>
    </row>
    <row r="99" spans="1:16" ht="25">
      <c r="A99" s="1139" t="s">
        <v>854</v>
      </c>
      <c r="B99" s="1140" t="s">
        <v>894</v>
      </c>
      <c r="C99" s="439" t="s">
        <v>893</v>
      </c>
      <c r="D99" s="439" t="s">
        <v>892</v>
      </c>
      <c r="E99" s="1140" t="s">
        <v>1267</v>
      </c>
      <c r="F99" s="342" t="s">
        <v>891</v>
      </c>
      <c r="G99" s="455" t="s">
        <v>1266</v>
      </c>
      <c r="H99" s="342" t="s">
        <v>724</v>
      </c>
      <c r="I99" s="342" t="s">
        <v>1268</v>
      </c>
    </row>
    <row r="100" spans="1:16">
      <c r="A100" s="56">
        <v>43599</v>
      </c>
      <c r="B100" s="1299">
        <v>6.9</v>
      </c>
      <c r="C100" s="1141">
        <v>1</v>
      </c>
      <c r="D100" s="1142">
        <v>0.2</v>
      </c>
      <c r="E100" s="1142">
        <v>0.05</v>
      </c>
      <c r="F100" s="1142">
        <v>1.5</v>
      </c>
      <c r="G100" s="1142">
        <v>38</v>
      </c>
      <c r="H100" s="1142">
        <v>8.5</v>
      </c>
      <c r="I100" s="1142">
        <v>1.5</v>
      </c>
    </row>
    <row r="101" spans="1:16">
      <c r="A101" s="56">
        <v>43636</v>
      </c>
      <c r="B101" s="1299">
        <v>18</v>
      </c>
      <c r="C101" s="1141">
        <v>1.5</v>
      </c>
      <c r="D101" s="1142">
        <v>0.5</v>
      </c>
      <c r="E101" s="1142">
        <v>0.1</v>
      </c>
      <c r="F101" s="1142">
        <v>1</v>
      </c>
      <c r="G101" s="1142">
        <v>87.8</v>
      </c>
      <c r="H101" s="1142">
        <v>24</v>
      </c>
      <c r="I101" s="1142">
        <v>1.4</v>
      </c>
    </row>
    <row r="102" spans="1:16">
      <c r="A102" s="56">
        <v>43655</v>
      </c>
      <c r="B102" s="1299">
        <v>10</v>
      </c>
      <c r="C102" s="1141">
        <v>2</v>
      </c>
      <c r="D102" s="1142">
        <v>0.2</v>
      </c>
      <c r="E102" s="1142">
        <v>0.1</v>
      </c>
      <c r="F102" s="1142">
        <v>2.5</v>
      </c>
      <c r="G102" s="1142">
        <v>75.7</v>
      </c>
      <c r="H102" s="1142">
        <v>4</v>
      </c>
      <c r="I102" s="1142">
        <v>1.5</v>
      </c>
    </row>
    <row r="103" spans="1:16">
      <c r="A103" s="56">
        <v>43696</v>
      </c>
      <c r="B103" s="1299">
        <v>3</v>
      </c>
      <c r="C103" s="1141">
        <v>3</v>
      </c>
      <c r="D103" s="1142">
        <v>0</v>
      </c>
      <c r="E103" s="1142">
        <v>0</v>
      </c>
      <c r="F103" s="1142">
        <v>0.5</v>
      </c>
      <c r="G103" s="1142">
        <v>28</v>
      </c>
      <c r="H103" s="1142">
        <v>0.8</v>
      </c>
      <c r="I103" s="1142">
        <v>1</v>
      </c>
    </row>
    <row r="104" spans="1:16">
      <c r="A104" s="56">
        <v>43725</v>
      </c>
      <c r="B104" s="1299">
        <v>1</v>
      </c>
      <c r="C104" s="1141">
        <v>0.1</v>
      </c>
      <c r="D104" s="1142">
        <v>0</v>
      </c>
      <c r="E104" s="1142">
        <v>0</v>
      </c>
      <c r="F104" s="1142">
        <v>0.1</v>
      </c>
      <c r="G104" s="1142">
        <v>16.399999999999999</v>
      </c>
      <c r="H104" s="1142">
        <v>0.72</v>
      </c>
      <c r="I104" s="1142">
        <v>0.5</v>
      </c>
    </row>
    <row r="105" spans="1:16">
      <c r="A105" s="56">
        <v>43753</v>
      </c>
      <c r="B105" s="1299">
        <v>2.2999999999999998</v>
      </c>
      <c r="C105" s="1141">
        <v>0.1</v>
      </c>
      <c r="D105" s="1142">
        <v>0</v>
      </c>
      <c r="E105" s="1142">
        <v>0</v>
      </c>
      <c r="F105" s="1142">
        <v>0</v>
      </c>
      <c r="G105" s="1142">
        <v>14.9</v>
      </c>
      <c r="H105" s="1142">
        <v>0.78</v>
      </c>
      <c r="I105" s="1142">
        <v>0.5</v>
      </c>
    </row>
    <row r="107" spans="1:16">
      <c r="D107" s="2449" t="s">
        <v>1862</v>
      </c>
      <c r="E107" s="2449"/>
      <c r="F107" s="2449"/>
      <c r="G107" s="2449"/>
      <c r="H107" s="2449"/>
    </row>
    <row r="108" spans="1:16">
      <c r="B108" s="2424" t="s">
        <v>210</v>
      </c>
      <c r="C108" s="2450" t="s">
        <v>211</v>
      </c>
      <c r="G108" s="1324">
        <v>2.7230000000000002E-3</v>
      </c>
    </row>
    <row r="109" spans="1:16" ht="25">
      <c r="B109" s="2425"/>
      <c r="C109" s="2451"/>
      <c r="D109" s="192" t="s">
        <v>1436</v>
      </c>
      <c r="E109" s="192" t="str">
        <f>'MWS 2019 chemistry'!Q2</f>
        <v>TN Ug/l</v>
      </c>
      <c r="F109" s="196" t="str">
        <f>'MWS 2019 chemistry'!R2</f>
        <v>T Phos Ug/l</v>
      </c>
      <c r="G109" s="456" t="s">
        <v>28</v>
      </c>
      <c r="H109" s="196" t="s">
        <v>27</v>
      </c>
    </row>
    <row r="110" spans="1:16">
      <c r="B110" s="784" t="s">
        <v>198</v>
      </c>
      <c r="C110" s="786" t="s">
        <v>581</v>
      </c>
      <c r="D110" s="1320">
        <v>650</v>
      </c>
      <c r="E110" s="192">
        <f>'MWS 2019 chemistry'!Q3</f>
        <v>442.4</v>
      </c>
      <c r="F110" s="1323">
        <f>'MWS 2019 chemistry'!R3</f>
        <v>67</v>
      </c>
      <c r="G110" s="2163">
        <f t="shared" ref="G110:G111" si="4">D110*E110*$G$108</f>
        <v>783.02588000000003</v>
      </c>
      <c r="H110" s="2163">
        <f t="shared" ref="H110:H111" si="5">D110*F110*$G$108</f>
        <v>118.58665000000001</v>
      </c>
    </row>
    <row r="111" spans="1:16">
      <c r="B111" s="784" t="s">
        <v>199</v>
      </c>
      <c r="C111" s="786" t="s">
        <v>1200</v>
      </c>
      <c r="D111" s="1320">
        <v>829</v>
      </c>
      <c r="E111" s="192">
        <f>'MWS 2019 chemistry'!Q4</f>
        <v>297.2</v>
      </c>
      <c r="F111" s="1323">
        <f>'MWS 2019 chemistry'!R4</f>
        <v>11.6</v>
      </c>
      <c r="G111" s="2163">
        <f t="shared" si="4"/>
        <v>670.88947240000005</v>
      </c>
      <c r="H111" s="2163">
        <f t="shared" si="5"/>
        <v>26.185457200000002</v>
      </c>
    </row>
    <row r="112" spans="1:16">
      <c r="B112" s="290" t="s">
        <v>288</v>
      </c>
      <c r="C112" s="787" t="s">
        <v>1262</v>
      </c>
      <c r="D112" s="1320">
        <f>Q2</f>
        <v>11303.1</v>
      </c>
      <c r="E112" s="192">
        <f>'MWS 2019 chemistry'!Q5</f>
        <v>227.66666666666666</v>
      </c>
      <c r="F112" s="1323">
        <f>'MWS 2019 chemistry'!R5</f>
        <v>13.833333333333334</v>
      </c>
      <c r="G112" s="2163">
        <f>D112*E112*$G$108</f>
        <v>7007.202369300001</v>
      </c>
      <c r="H112" s="2163">
        <f>D112*F112*$G$108</f>
        <v>425.76705465000009</v>
      </c>
    </row>
    <row r="113" spans="2:11">
      <c r="B113" s="291" t="s">
        <v>287</v>
      </c>
      <c r="C113" s="787" t="s">
        <v>312</v>
      </c>
      <c r="D113" s="1320">
        <f>Q8</f>
        <v>14777.316000000001</v>
      </c>
      <c r="E113" s="192">
        <f>'MWS 2019 chemistry'!Q6</f>
        <v>188.5</v>
      </c>
      <c r="F113" s="1323">
        <f>'MWS 2019 chemistry'!R6</f>
        <v>17.333333333333332</v>
      </c>
      <c r="G113" s="2163">
        <f>D113*E113*$G$108</f>
        <v>7584.9820317180011</v>
      </c>
      <c r="H113" s="2163">
        <f>D113*F113*$G$108</f>
        <v>697.46961211200005</v>
      </c>
      <c r="I113" s="1323">
        <f>SUM(H113:H115)</f>
        <v>1433.2690585605003</v>
      </c>
    </row>
    <row r="114" spans="2:11">
      <c r="B114" s="291" t="s">
        <v>213</v>
      </c>
      <c r="C114" s="708" t="s">
        <v>214</v>
      </c>
      <c r="D114" s="1320">
        <f>Q14</f>
        <v>15514.992</v>
      </c>
      <c r="E114" s="192">
        <f>'MWS 2019 chemistry'!Q7</f>
        <v>205.83333333333334</v>
      </c>
      <c r="F114" s="1323">
        <f>'MWS 2019 chemistry'!R7</f>
        <v>16</v>
      </c>
      <c r="G114" s="2163">
        <f t="shared" ref="G114:G133" si="6">D114*E114*$G$108</f>
        <v>8695.9073619600003</v>
      </c>
      <c r="H114" s="2163">
        <f>D114*F114*$G$108</f>
        <v>675.95717145600008</v>
      </c>
    </row>
    <row r="115" spans="2:11">
      <c r="B115" s="291" t="s">
        <v>207</v>
      </c>
      <c r="C115" s="708" t="s">
        <v>221</v>
      </c>
      <c r="D115" s="1320">
        <f>Q56</f>
        <v>2397.4470000000001</v>
      </c>
      <c r="E115" s="192">
        <f>'MWS 2019 chemistry'!Q8</f>
        <v>108.5</v>
      </c>
      <c r="F115" s="1323">
        <f>'MWS 2019 chemistry'!R8</f>
        <v>9.1666666666666661</v>
      </c>
      <c r="G115" s="2163">
        <f t="shared" si="6"/>
        <v>708.31492763850008</v>
      </c>
      <c r="H115" s="2163">
        <f>D115*F115*$G$108</f>
        <v>59.842274992500002</v>
      </c>
    </row>
    <row r="116" spans="2:11">
      <c r="B116" s="291" t="s">
        <v>1203</v>
      </c>
      <c r="C116" s="708" t="s">
        <v>1202</v>
      </c>
      <c r="D116" s="1320">
        <v>15140</v>
      </c>
      <c r="E116" s="192">
        <f>'MWS 2019 chemistry'!Q9</f>
        <v>253.83333333333334</v>
      </c>
      <c r="F116" s="1323">
        <f>'MWS 2019 chemistry'!R9</f>
        <v>15</v>
      </c>
      <c r="G116" s="2163">
        <v>71</v>
      </c>
      <c r="H116" s="2163">
        <f>D116*F116*$G$108</f>
        <v>618.39330000000007</v>
      </c>
    </row>
    <row r="117" spans="2:11">
      <c r="B117" s="291" t="s">
        <v>164</v>
      </c>
      <c r="C117" s="708" t="s">
        <v>228</v>
      </c>
      <c r="D117" s="1320">
        <f>Q20</f>
        <v>16092.045</v>
      </c>
      <c r="E117" s="192">
        <f>'MWS 2019 chemistry'!Q10</f>
        <v>230.16666666666666</v>
      </c>
      <c r="F117" s="1323">
        <f>'MWS 2019 chemistry'!R10</f>
        <v>16.833333333333332</v>
      </c>
      <c r="G117" s="2163">
        <f t="shared" si="6"/>
        <v>10085.589969472501</v>
      </c>
      <c r="H117" s="2163">
        <f t="shared" ref="H117:H133" si="7">D117*F117*$G$108</f>
        <v>737.61374867250004</v>
      </c>
      <c r="I117" s="1323">
        <f>SUM(H117:H126)</f>
        <v>9851.4288888330011</v>
      </c>
    </row>
    <row r="118" spans="2:11">
      <c r="B118" s="291" t="s">
        <v>200</v>
      </c>
      <c r="C118" s="708" t="s">
        <v>216</v>
      </c>
      <c r="D118" s="1320">
        <f>Q26</f>
        <v>16389.495000000003</v>
      </c>
      <c r="E118" s="192">
        <f>'MWS 2019 chemistry'!Q11</f>
        <v>399.16666666666669</v>
      </c>
      <c r="F118" s="1323">
        <f>'MWS 2019 chemistry'!R11</f>
        <v>34.166666666666664</v>
      </c>
      <c r="G118" s="2163">
        <f t="shared" si="6"/>
        <v>17814.247458262504</v>
      </c>
      <c r="H118" s="2163">
        <f t="shared" si="7"/>
        <v>1524.8103252375004</v>
      </c>
    </row>
    <row r="119" spans="2:11">
      <c r="B119" s="291" t="s">
        <v>201</v>
      </c>
      <c r="C119" s="708" t="s">
        <v>217</v>
      </c>
      <c r="D119" s="1320">
        <f>Q32</f>
        <v>16573.914000000001</v>
      </c>
      <c r="E119" s="192">
        <f>'MWS 2019 chemistry'!Q12</f>
        <v>339.33333333333331</v>
      </c>
      <c r="F119" s="1323">
        <f>'MWS 2019 chemistry'!R12</f>
        <v>35.5</v>
      </c>
      <c r="G119" s="2163">
        <f t="shared" si="6"/>
        <v>15314.373880932002</v>
      </c>
      <c r="H119" s="2163">
        <f t="shared" si="7"/>
        <v>1602.1422576810003</v>
      </c>
    </row>
    <row r="120" spans="2:11">
      <c r="B120" s="291" t="s">
        <v>202</v>
      </c>
      <c r="C120" s="708" t="s">
        <v>218</v>
      </c>
      <c r="D120" s="1320">
        <f>Q38</f>
        <v>16579.863000000001</v>
      </c>
      <c r="E120" s="192">
        <f>'MWS 2019 chemistry'!Q13</f>
        <v>422.33333333333331</v>
      </c>
      <c r="F120" s="1323">
        <f>'MWS 2019 chemistry'!R13</f>
        <v>38.5</v>
      </c>
      <c r="G120" s="2163">
        <f t="shared" si="6"/>
        <v>19067.069041461</v>
      </c>
      <c r="H120" s="2163">
        <f t="shared" si="7"/>
        <v>1738.1582275365004</v>
      </c>
    </row>
    <row r="121" spans="2:11">
      <c r="B121" s="291" t="s">
        <v>203</v>
      </c>
      <c r="C121" s="708" t="s">
        <v>219</v>
      </c>
      <c r="D121" s="1320">
        <f>Q44</f>
        <v>16716.690000000002</v>
      </c>
      <c r="E121" s="192">
        <f>'MWS 2019 chemistry'!Q14</f>
        <v>430.5</v>
      </c>
      <c r="F121" s="1323">
        <f>'MWS 2019 chemistry'!R14</f>
        <v>36.833333333333336</v>
      </c>
      <c r="G121" s="2163">
        <f t="shared" si="6"/>
        <v>19596.164927535003</v>
      </c>
      <c r="H121" s="2163">
        <f t="shared" si="7"/>
        <v>1676.6366430450005</v>
      </c>
    </row>
    <row r="122" spans="2:11">
      <c r="B122" s="291" t="s">
        <v>204</v>
      </c>
      <c r="C122" s="708" t="s">
        <v>229</v>
      </c>
      <c r="D122" s="1320">
        <f>Q50</f>
        <v>13867.119000000002</v>
      </c>
      <c r="E122" s="192">
        <f>'MWS 2019 chemistry'!Q15</f>
        <v>478.5</v>
      </c>
      <c r="F122" s="1323">
        <f>'MWS 2019 chemistry'!R15</f>
        <v>55.166666666666664</v>
      </c>
      <c r="G122" s="2163">
        <f t="shared" si="6"/>
        <v>18068.238970204504</v>
      </c>
      <c r="H122" s="2163">
        <f t="shared" si="7"/>
        <v>2083.1024378745005</v>
      </c>
      <c r="J122" s="456">
        <f>H122-H5</f>
        <v>2053.1024378745005</v>
      </c>
      <c r="K122" s="456">
        <f>J122+H124+H125</f>
        <v>2330.9174659245009</v>
      </c>
    </row>
    <row r="123" spans="2:11">
      <c r="B123" s="291" t="s">
        <v>1259</v>
      </c>
      <c r="C123" s="708" t="s">
        <v>1261</v>
      </c>
      <c r="D123" s="1320">
        <f>Q68</f>
        <v>2308.212</v>
      </c>
      <c r="E123" s="192">
        <f>'MWS 2019 chemistry'!Q16</f>
        <v>374.66666666666669</v>
      </c>
      <c r="F123" s="1323">
        <f>'MWS 2019 chemistry'!R16</f>
        <v>32.666666666666664</v>
      </c>
      <c r="G123" s="2163">
        <f t="shared" si="6"/>
        <v>2354.8778914080003</v>
      </c>
      <c r="H123" s="2163">
        <f t="shared" si="7"/>
        <v>205.31853501599997</v>
      </c>
    </row>
    <row r="124" spans="2:11">
      <c r="B124" s="292" t="s">
        <v>357</v>
      </c>
      <c r="C124" s="788" t="s">
        <v>359</v>
      </c>
      <c r="D124" s="1320">
        <f>Q74</f>
        <v>71.388000000000005</v>
      </c>
      <c r="E124" s="192">
        <f>'MWS 2019 chemistry'!Q17</f>
        <v>525.5</v>
      </c>
      <c r="F124" s="1323">
        <f>'MWS 2019 chemistry'!R17</f>
        <v>47.833333333333336</v>
      </c>
      <c r="G124" s="2163">
        <f t="shared" si="6"/>
        <v>102.15169486200001</v>
      </c>
      <c r="H124" s="2163">
        <f t="shared" si="7"/>
        <v>9.2982988980000023</v>
      </c>
    </row>
    <row r="125" spans="2:11">
      <c r="B125" s="290" t="s">
        <v>498</v>
      </c>
      <c r="C125" s="787" t="s">
        <v>358</v>
      </c>
      <c r="D125" s="1320">
        <f>Q80</f>
        <v>761.47199999999998</v>
      </c>
      <c r="E125" s="192">
        <f>'MWS 2019 chemistry'!Q18</f>
        <v>897.16666666666663</v>
      </c>
      <c r="F125" s="1323">
        <f>'MWS 2019 chemistry'!R18</f>
        <v>129.5</v>
      </c>
      <c r="G125" s="2163">
        <f t="shared" si="6"/>
        <v>1860.2645470080001</v>
      </c>
      <c r="H125" s="2163">
        <f t="shared" si="7"/>
        <v>268.51672915199998</v>
      </c>
    </row>
    <row r="126" spans="2:11">
      <c r="B126" s="290" t="s">
        <v>1387</v>
      </c>
      <c r="C126" s="787" t="s">
        <v>360</v>
      </c>
      <c r="D126" s="1320">
        <f>Q62</f>
        <v>178.47</v>
      </c>
      <c r="E126" s="192">
        <f>'MWS 2019 chemistry'!Q19</f>
        <v>886</v>
      </c>
      <c r="F126" s="1323">
        <f>'MWS 2019 chemistry'!R19</f>
        <v>12</v>
      </c>
      <c r="G126" s="2163">
        <f t="shared" si="6"/>
        <v>430.57279566000005</v>
      </c>
      <c r="H126" s="2163">
        <f t="shared" si="7"/>
        <v>5.8316857200000003</v>
      </c>
    </row>
    <row r="127" spans="2:11">
      <c r="B127" s="290" t="s">
        <v>321</v>
      </c>
      <c r="C127" s="787" t="s">
        <v>1206</v>
      </c>
      <c r="D127" s="1320">
        <v>12522</v>
      </c>
      <c r="E127" s="192">
        <f>'MWS 2019 chemistry'!Q20</f>
        <v>544.66666666666663</v>
      </c>
      <c r="F127" s="1323">
        <f>'MWS 2019 chemistry'!R20</f>
        <v>47.166666666666664</v>
      </c>
      <c r="G127" s="2163">
        <f t="shared" si="6"/>
        <v>18571.720468</v>
      </c>
      <c r="H127" s="2163">
        <f t="shared" si="7"/>
        <v>1608.2609830000001</v>
      </c>
    </row>
    <row r="128" spans="2:11">
      <c r="B128" s="791" t="s">
        <v>206</v>
      </c>
      <c r="C128" s="708" t="s">
        <v>225</v>
      </c>
      <c r="D128" s="1320">
        <f>Q92</f>
        <v>424.16370000000001</v>
      </c>
      <c r="E128" s="192">
        <f>'MWS 2019 chemistry'!Q21</f>
        <v>344.16666666666669</v>
      </c>
      <c r="F128" s="1323">
        <f>'MWS 2019 chemistry'!R21</f>
        <v>30.5</v>
      </c>
      <c r="G128" s="2163">
        <f t="shared" si="6"/>
        <v>397.51172738025002</v>
      </c>
      <c r="H128" s="2163">
        <f t="shared" si="7"/>
        <v>35.227431530550007</v>
      </c>
    </row>
    <row r="129" spans="2:8">
      <c r="B129" s="791" t="s">
        <v>205</v>
      </c>
      <c r="C129" s="708" t="s">
        <v>696</v>
      </c>
      <c r="D129" s="1320">
        <f>Q86</f>
        <v>110.6514</v>
      </c>
      <c r="E129" s="192">
        <f>'MWS 2019 chemistry'!Q22</f>
        <v>458.5</v>
      </c>
      <c r="F129" s="1323">
        <f>'MWS 2019 chemistry'!R22</f>
        <v>48.833333333333336</v>
      </c>
      <c r="G129" s="2163">
        <f t="shared" si="6"/>
        <v>138.14777496869999</v>
      </c>
      <c r="H129" s="2163">
        <f t="shared" si="7"/>
        <v>14.713667054100002</v>
      </c>
    </row>
    <row r="130" spans="2:8">
      <c r="B130" s="464" t="s">
        <v>334</v>
      </c>
      <c r="C130" s="1114" t="s">
        <v>1218</v>
      </c>
      <c r="D130" s="1320">
        <v>998</v>
      </c>
      <c r="E130" s="192">
        <f>'MWS 2019 chemistry'!Q23</f>
        <v>609.33333333333337</v>
      </c>
      <c r="F130" s="1323">
        <f>'MWS 2019 chemistry'!R23</f>
        <v>18.333333333333332</v>
      </c>
      <c r="G130" s="2163">
        <f t="shared" si="6"/>
        <v>1655.8962373333336</v>
      </c>
      <c r="H130" s="2163">
        <f t="shared" si="7"/>
        <v>49.821823333333327</v>
      </c>
    </row>
    <row r="131" spans="2:8">
      <c r="B131" s="290" t="s">
        <v>1204</v>
      </c>
      <c r="C131" s="787" t="s">
        <v>1205</v>
      </c>
      <c r="D131" s="1320">
        <v>13520</v>
      </c>
      <c r="E131" s="192">
        <f>'MWS 2019 chemistry'!Q24</f>
        <v>526.5</v>
      </c>
      <c r="F131" s="1323">
        <f>'MWS 2019 chemistry'!R24</f>
        <v>35.166666666666664</v>
      </c>
      <c r="G131" s="2163">
        <f t="shared" si="6"/>
        <v>19383.076440000001</v>
      </c>
      <c r="H131" s="2163">
        <f t="shared" si="7"/>
        <v>1294.6594266666666</v>
      </c>
    </row>
    <row r="132" spans="2:8">
      <c r="B132" s="290" t="s">
        <v>327</v>
      </c>
      <c r="C132" s="1115" t="s">
        <v>1208</v>
      </c>
      <c r="D132" s="1320">
        <v>12544</v>
      </c>
      <c r="E132" s="192">
        <f>'MWS 2019 chemistry'!Q25</f>
        <v>538.33333333333337</v>
      </c>
      <c r="F132" s="1323">
        <f>'MWS 2019 chemistry'!R25</f>
        <v>34.666666666666664</v>
      </c>
      <c r="G132" s="2163">
        <f t="shared" si="6"/>
        <v>18388.019626666668</v>
      </c>
      <c r="H132" s="2163">
        <f t="shared" si="7"/>
        <v>1184.1201493333333</v>
      </c>
    </row>
    <row r="133" spans="2:8">
      <c r="B133" s="790" t="s">
        <v>793</v>
      </c>
      <c r="C133" s="1116" t="s">
        <v>1207</v>
      </c>
      <c r="D133" s="1320">
        <v>14687</v>
      </c>
      <c r="E133" s="192">
        <f>'MWS 2019 chemistry'!Q26</f>
        <v>643.83333333333337</v>
      </c>
      <c r="F133" s="1323">
        <f>'MWS 2019 chemistry'!R26</f>
        <v>54.833333333333336</v>
      </c>
      <c r="G133" s="2163">
        <f t="shared" si="6"/>
        <v>25748.633993833337</v>
      </c>
      <c r="H133" s="2163">
        <f t="shared" si="7"/>
        <v>2192.9331048333338</v>
      </c>
    </row>
  </sheetData>
  <mergeCells count="42">
    <mergeCell ref="A20:A55"/>
    <mergeCell ref="B26:B31"/>
    <mergeCell ref="D107:H107"/>
    <mergeCell ref="B108:B109"/>
    <mergeCell ref="C108:C109"/>
    <mergeCell ref="C26:C31"/>
    <mergeCell ref="B20:B25"/>
    <mergeCell ref="C20:C25"/>
    <mergeCell ref="C92:C97"/>
    <mergeCell ref="B80:B85"/>
    <mergeCell ref="C32:C37"/>
    <mergeCell ref="C50:C55"/>
    <mergeCell ref="B50:B55"/>
    <mergeCell ref="C80:C85"/>
    <mergeCell ref="C62:C67"/>
    <mergeCell ref="C56:C61"/>
    <mergeCell ref="C38:C43"/>
    <mergeCell ref="C86:C91"/>
    <mergeCell ref="C68:C73"/>
    <mergeCell ref="C74:C79"/>
    <mergeCell ref="C8:C13"/>
    <mergeCell ref="C44:C49"/>
    <mergeCell ref="A2:A19"/>
    <mergeCell ref="B2:B7"/>
    <mergeCell ref="C2:C7"/>
    <mergeCell ref="C14:C19"/>
    <mergeCell ref="B14:B19"/>
    <mergeCell ref="B8:B13"/>
    <mergeCell ref="B92:B97"/>
    <mergeCell ref="B32:B37"/>
    <mergeCell ref="B56:B61"/>
    <mergeCell ref="B44:B49"/>
    <mergeCell ref="B62:B67"/>
    <mergeCell ref="B68:B73"/>
    <mergeCell ref="B74:B79"/>
    <mergeCell ref="B86:B91"/>
    <mergeCell ref="B38:B43"/>
    <mergeCell ref="A92:A97"/>
    <mergeCell ref="A86:A91"/>
    <mergeCell ref="A68:A85"/>
    <mergeCell ref="A62:A67"/>
    <mergeCell ref="A56:A61"/>
  </mergeCell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59999389629810485"/>
    <pageSetUpPr fitToPage="1"/>
  </sheetPr>
  <dimension ref="A1:AS200"/>
  <sheetViews>
    <sheetView topLeftCell="AA1" zoomScaleNormal="100" workbookViewId="0">
      <selection activeCell="AI2" sqref="AI2:AO27"/>
    </sheetView>
  </sheetViews>
  <sheetFormatPr defaultRowHeight="14"/>
  <cols>
    <col min="1" max="1" width="7.36328125" customWidth="1"/>
    <col min="2" max="2" width="7.26953125" customWidth="1"/>
    <col min="3" max="3" width="7.08984375" bestFit="1" customWidth="1"/>
    <col min="4" max="4" width="34.90625" style="78" bestFit="1" customWidth="1"/>
    <col min="5" max="5" width="6.08984375" style="78" customWidth="1"/>
    <col min="6" max="6" width="7.453125" style="78" customWidth="1"/>
    <col min="7" max="7" width="5.7265625" style="78" customWidth="1"/>
    <col min="8" max="8" width="6.6328125" style="78" customWidth="1"/>
    <col min="9" max="9" width="5.90625" style="78" bestFit="1" customWidth="1"/>
    <col min="10" max="10" width="6.6328125" style="78" bestFit="1" customWidth="1"/>
    <col min="11" max="11" width="5.6328125" customWidth="1"/>
    <col min="12" max="12" width="5.90625" customWidth="1"/>
    <col min="13" max="14" width="6" customWidth="1"/>
    <col min="15" max="15" width="5.26953125" customWidth="1"/>
    <col min="16" max="16" width="6.26953125" bestFit="1" customWidth="1"/>
    <col min="17" max="17" width="5.36328125" bestFit="1" customWidth="1"/>
    <col min="18" max="19" width="6.7265625" customWidth="1"/>
    <col min="20" max="20" width="9.90625" bestFit="1" customWidth="1"/>
    <col min="21" max="29" width="8.81640625" bestFit="1" customWidth="1"/>
    <col min="38" max="38" width="19.08984375" customWidth="1"/>
  </cols>
  <sheetData>
    <row r="1" spans="1:41" ht="24.5" customHeight="1">
      <c r="C1" s="2424" t="s">
        <v>210</v>
      </c>
      <c r="D1" s="2450" t="s">
        <v>211</v>
      </c>
      <c r="E1" s="2465">
        <v>43599</v>
      </c>
      <c r="F1" s="2466"/>
      <c r="G1" s="2465">
        <v>43636</v>
      </c>
      <c r="H1" s="2466"/>
      <c r="I1" s="2465">
        <v>43655</v>
      </c>
      <c r="J1" s="2466"/>
      <c r="K1" s="2465">
        <v>43696</v>
      </c>
      <c r="L1" s="2466"/>
      <c r="M1" s="2465">
        <v>43725</v>
      </c>
      <c r="N1" s="2466"/>
      <c r="O1" s="2465">
        <v>43753</v>
      </c>
      <c r="P1" s="2466"/>
      <c r="Q1" s="2455" t="s">
        <v>102</v>
      </c>
      <c r="R1" s="2456"/>
      <c r="S1" s="2456"/>
      <c r="T1" s="1969"/>
    </row>
    <row r="2" spans="1:41" ht="24.75" customHeight="1">
      <c r="C2" s="2425"/>
      <c r="D2" s="2451"/>
      <c r="E2" s="1143" t="s">
        <v>227</v>
      </c>
      <c r="F2" s="1143" t="s">
        <v>226</v>
      </c>
      <c r="G2" s="1143" t="s">
        <v>227</v>
      </c>
      <c r="H2" s="1143" t="s">
        <v>226</v>
      </c>
      <c r="I2" s="1143" t="s">
        <v>227</v>
      </c>
      <c r="J2" s="1143" t="s">
        <v>226</v>
      </c>
      <c r="K2" s="1143" t="s">
        <v>227</v>
      </c>
      <c r="L2" s="1143" t="s">
        <v>226</v>
      </c>
      <c r="M2" s="1143" t="s">
        <v>227</v>
      </c>
      <c r="N2" s="1143" t="s">
        <v>226</v>
      </c>
      <c r="O2" s="1143" t="s">
        <v>227</v>
      </c>
      <c r="P2" s="1143" t="s">
        <v>226</v>
      </c>
      <c r="Q2" s="1143" t="s">
        <v>227</v>
      </c>
      <c r="R2" s="1143" t="s">
        <v>226</v>
      </c>
      <c r="S2" s="1143" t="s">
        <v>1863</v>
      </c>
      <c r="T2" s="1971">
        <v>43599</v>
      </c>
      <c r="AI2" s="1969"/>
      <c r="AJ2" s="1969"/>
      <c r="AK2" s="2424" t="s">
        <v>210</v>
      </c>
      <c r="AL2" s="2426" t="s">
        <v>211</v>
      </c>
      <c r="AM2" s="2457" t="s">
        <v>102</v>
      </c>
      <c r="AN2" s="2457"/>
      <c r="AO2" s="2457"/>
    </row>
    <row r="3" spans="1:41" ht="28">
      <c r="A3" s="2452" t="s">
        <v>1199</v>
      </c>
      <c r="B3" s="2459" t="s">
        <v>1209</v>
      </c>
      <c r="C3" s="784" t="s">
        <v>198</v>
      </c>
      <c r="D3" s="786" t="s">
        <v>581</v>
      </c>
      <c r="E3" s="2092"/>
      <c r="F3" s="2092"/>
      <c r="G3" s="1986">
        <v>288</v>
      </c>
      <c r="H3" s="1983">
        <v>11</v>
      </c>
      <c r="I3" s="2088">
        <v>944</v>
      </c>
      <c r="J3" s="1983">
        <v>255</v>
      </c>
      <c r="K3" s="2088">
        <v>319</v>
      </c>
      <c r="L3" s="1983">
        <v>14</v>
      </c>
      <c r="M3" s="2088">
        <v>237</v>
      </c>
      <c r="N3" s="1983">
        <v>6</v>
      </c>
      <c r="O3" s="2089">
        <v>424</v>
      </c>
      <c r="P3" s="2092">
        <v>49</v>
      </c>
      <c r="Q3" s="605">
        <f t="shared" ref="Q3:Q26" si="0">AVERAGE(E3,G3,I3,K3,M3,O3)</f>
        <v>442.4</v>
      </c>
      <c r="R3" s="605">
        <f t="shared" ref="R3:R26" si="1">AVERAGE(F3,H3,J3,L3,N3,P3)</f>
        <v>67</v>
      </c>
      <c r="S3" s="1983">
        <v>118.58665000000001</v>
      </c>
      <c r="T3" s="1971">
        <v>43636</v>
      </c>
      <c r="AI3" s="1969"/>
      <c r="AJ3" s="1969"/>
      <c r="AK3" s="2425"/>
      <c r="AL3" s="2427"/>
      <c r="AM3" s="499" t="s">
        <v>227</v>
      </c>
      <c r="AN3" s="499" t="s">
        <v>226</v>
      </c>
      <c r="AO3" s="499" t="s">
        <v>1863</v>
      </c>
    </row>
    <row r="4" spans="1:41">
      <c r="A4" s="2452"/>
      <c r="B4" s="2459"/>
      <c r="C4" s="784" t="s">
        <v>199</v>
      </c>
      <c r="D4" s="786" t="s">
        <v>1200</v>
      </c>
      <c r="E4" s="1989"/>
      <c r="F4" s="2090"/>
      <c r="G4" s="2090">
        <v>335</v>
      </c>
      <c r="H4" s="2090">
        <v>18</v>
      </c>
      <c r="I4" s="1983">
        <v>345</v>
      </c>
      <c r="J4" s="2088">
        <v>17</v>
      </c>
      <c r="K4" s="2091">
        <v>244</v>
      </c>
      <c r="L4" s="2088">
        <v>6</v>
      </c>
      <c r="M4" s="1983">
        <v>262</v>
      </c>
      <c r="N4" s="2090">
        <v>6</v>
      </c>
      <c r="O4" s="1976">
        <v>300</v>
      </c>
      <c r="P4" s="2092">
        <v>11</v>
      </c>
      <c r="Q4" s="605">
        <f t="shared" si="0"/>
        <v>297.2</v>
      </c>
      <c r="R4" s="605">
        <f t="shared" si="1"/>
        <v>11.6</v>
      </c>
      <c r="S4" s="1983">
        <v>26.185457200000002</v>
      </c>
      <c r="T4" s="1971">
        <v>43655</v>
      </c>
      <c r="AI4" s="2452" t="s">
        <v>1199</v>
      </c>
      <c r="AJ4" s="2459" t="s">
        <v>1209</v>
      </c>
      <c r="AK4" s="784" t="s">
        <v>198</v>
      </c>
      <c r="AL4" s="786" t="s">
        <v>581</v>
      </c>
      <c r="AM4" s="1970">
        <v>442.4</v>
      </c>
      <c r="AN4" s="1970">
        <v>67</v>
      </c>
      <c r="AO4" s="1970">
        <v>118.58665000000001</v>
      </c>
    </row>
    <row r="5" spans="1:41" ht="15" customHeight="1">
      <c r="A5" s="2435" t="s">
        <v>984</v>
      </c>
      <c r="B5" s="2453" t="s">
        <v>1210</v>
      </c>
      <c r="C5" s="290" t="s">
        <v>288</v>
      </c>
      <c r="D5" s="787" t="s">
        <v>1262</v>
      </c>
      <c r="E5" s="2093">
        <v>244</v>
      </c>
      <c r="F5" s="2093">
        <v>23</v>
      </c>
      <c r="G5" s="2093">
        <v>281</v>
      </c>
      <c r="H5" s="2093">
        <v>7</v>
      </c>
      <c r="I5" s="2093">
        <v>208</v>
      </c>
      <c r="J5" s="2093">
        <v>7</v>
      </c>
      <c r="K5" s="2093">
        <v>206</v>
      </c>
      <c r="L5" s="2093">
        <v>18</v>
      </c>
      <c r="M5" s="2093">
        <v>197</v>
      </c>
      <c r="N5" s="2093">
        <v>6</v>
      </c>
      <c r="O5" s="2093">
        <v>230</v>
      </c>
      <c r="P5" s="2093">
        <v>22</v>
      </c>
      <c r="Q5" s="605">
        <f t="shared" si="0"/>
        <v>227.66666666666666</v>
      </c>
      <c r="R5" s="605">
        <f t="shared" si="1"/>
        <v>13.833333333333334</v>
      </c>
      <c r="S5" s="1983">
        <v>425.76705465000009</v>
      </c>
      <c r="T5" s="1971">
        <v>43696</v>
      </c>
      <c r="AI5" s="2452"/>
      <c r="AJ5" s="2459"/>
      <c r="AK5" s="784" t="s">
        <v>199</v>
      </c>
      <c r="AL5" s="786" t="s">
        <v>1200</v>
      </c>
      <c r="AM5" s="1970">
        <v>297.2</v>
      </c>
      <c r="AN5" s="1970">
        <v>11.6</v>
      </c>
      <c r="AO5" s="1970">
        <v>26.185457200000002</v>
      </c>
    </row>
    <row r="6" spans="1:41">
      <c r="A6" s="2436"/>
      <c r="B6" s="2458"/>
      <c r="C6" s="291" t="s">
        <v>287</v>
      </c>
      <c r="D6" s="787" t="s">
        <v>312</v>
      </c>
      <c r="E6" s="2093">
        <v>215</v>
      </c>
      <c r="F6" s="2093">
        <v>21</v>
      </c>
      <c r="G6" s="2093">
        <v>258</v>
      </c>
      <c r="H6" s="2093">
        <v>19</v>
      </c>
      <c r="I6" s="2093">
        <v>181</v>
      </c>
      <c r="J6" s="2093">
        <v>10</v>
      </c>
      <c r="K6" s="2093">
        <v>169</v>
      </c>
      <c r="L6" s="2093">
        <v>6</v>
      </c>
      <c r="M6" s="2093">
        <v>156</v>
      </c>
      <c r="N6" s="2093">
        <v>7</v>
      </c>
      <c r="O6" s="2093">
        <v>152</v>
      </c>
      <c r="P6" s="2093">
        <v>41</v>
      </c>
      <c r="Q6" s="605">
        <f t="shared" si="0"/>
        <v>188.5</v>
      </c>
      <c r="R6" s="605">
        <f t="shared" si="1"/>
        <v>17.333333333333332</v>
      </c>
      <c r="S6" s="1983">
        <v>697.46961211200005</v>
      </c>
      <c r="T6" s="1971">
        <v>43725</v>
      </c>
      <c r="AI6" s="2435" t="s">
        <v>984</v>
      </c>
      <c r="AJ6" s="2453" t="s">
        <v>1210</v>
      </c>
      <c r="AK6" s="290" t="s">
        <v>288</v>
      </c>
      <c r="AL6" s="787" t="s">
        <v>1262</v>
      </c>
      <c r="AM6" s="1970">
        <v>227.66666666666666</v>
      </c>
      <c r="AN6" s="1970">
        <v>13.833333333333334</v>
      </c>
      <c r="AO6" s="1970">
        <v>425.76705465000009</v>
      </c>
    </row>
    <row r="7" spans="1:41">
      <c r="A7" s="2437"/>
      <c r="B7" s="2454"/>
      <c r="C7" s="291" t="s">
        <v>213</v>
      </c>
      <c r="D7" s="708" t="s">
        <v>214</v>
      </c>
      <c r="E7" s="2093">
        <v>253</v>
      </c>
      <c r="F7" s="2093">
        <v>37</v>
      </c>
      <c r="G7" s="2093">
        <v>261</v>
      </c>
      <c r="H7" s="2093">
        <v>19</v>
      </c>
      <c r="I7" s="2093">
        <v>194</v>
      </c>
      <c r="J7" s="2093">
        <v>14</v>
      </c>
      <c r="K7" s="2093">
        <v>170</v>
      </c>
      <c r="L7" s="2093">
        <v>13</v>
      </c>
      <c r="M7" s="2093">
        <v>165</v>
      </c>
      <c r="N7" s="2093">
        <v>7</v>
      </c>
      <c r="O7" s="2093">
        <v>192</v>
      </c>
      <c r="P7" s="2093">
        <v>6</v>
      </c>
      <c r="Q7" s="605">
        <f t="shared" si="0"/>
        <v>205.83333333333334</v>
      </c>
      <c r="R7" s="605">
        <f t="shared" si="1"/>
        <v>16</v>
      </c>
      <c r="S7" s="1983">
        <v>675.95717145600008</v>
      </c>
      <c r="T7" s="1971">
        <v>43753</v>
      </c>
      <c r="AI7" s="2436"/>
      <c r="AJ7" s="2458"/>
      <c r="AK7" s="291" t="s">
        <v>287</v>
      </c>
      <c r="AL7" s="787" t="s">
        <v>312</v>
      </c>
      <c r="AM7" s="1970">
        <v>188.5</v>
      </c>
      <c r="AN7" s="1970">
        <v>17.333333333333332</v>
      </c>
      <c r="AO7" s="1970">
        <v>697.46961211200005</v>
      </c>
    </row>
    <row r="8" spans="1:41" ht="23">
      <c r="A8" s="1283" t="s">
        <v>985</v>
      </c>
      <c r="B8" s="95" t="s">
        <v>1211</v>
      </c>
      <c r="C8" s="291" t="s">
        <v>207</v>
      </c>
      <c r="D8" s="708" t="s">
        <v>221</v>
      </c>
      <c r="E8" s="2093">
        <v>149</v>
      </c>
      <c r="F8" s="2093">
        <v>14</v>
      </c>
      <c r="G8" s="2093">
        <v>146</v>
      </c>
      <c r="H8" s="2093">
        <v>7</v>
      </c>
      <c r="I8" s="2093">
        <v>116</v>
      </c>
      <c r="J8" s="2093">
        <v>8</v>
      </c>
      <c r="K8" s="2093">
        <v>85</v>
      </c>
      <c r="L8" s="2093">
        <v>7</v>
      </c>
      <c r="M8" s="2093">
        <v>94</v>
      </c>
      <c r="N8" s="2093">
        <v>13</v>
      </c>
      <c r="O8" s="2093">
        <v>61</v>
      </c>
      <c r="P8" s="2093">
        <v>6</v>
      </c>
      <c r="Q8" s="605">
        <f t="shared" si="0"/>
        <v>108.5</v>
      </c>
      <c r="R8" s="605">
        <f t="shared" si="1"/>
        <v>9.1666666666666661</v>
      </c>
      <c r="S8" s="1983">
        <v>59.842274992500002</v>
      </c>
      <c r="T8" s="507"/>
      <c r="AI8" s="2437"/>
      <c r="AJ8" s="2454"/>
      <c r="AK8" s="291" t="s">
        <v>213</v>
      </c>
      <c r="AL8" s="708" t="s">
        <v>214</v>
      </c>
      <c r="AM8" s="1970">
        <v>205.83333333333334</v>
      </c>
      <c r="AN8" s="1970">
        <v>16</v>
      </c>
      <c r="AO8" s="1970">
        <v>675.95717145600008</v>
      </c>
    </row>
    <row r="9" spans="1:41" ht="23">
      <c r="A9" s="785" t="s">
        <v>1201</v>
      </c>
      <c r="B9" s="95" t="s">
        <v>726</v>
      </c>
      <c r="C9" s="291" t="s">
        <v>1203</v>
      </c>
      <c r="D9" s="708" t="s">
        <v>1202</v>
      </c>
      <c r="E9" s="1983">
        <v>246</v>
      </c>
      <c r="F9" s="1983">
        <v>12</v>
      </c>
      <c r="G9" s="1983">
        <v>319</v>
      </c>
      <c r="H9" s="1983">
        <v>16</v>
      </c>
      <c r="I9" s="1983">
        <v>271</v>
      </c>
      <c r="J9" s="1983">
        <v>12</v>
      </c>
      <c r="K9" s="1983">
        <v>239</v>
      </c>
      <c r="L9" s="1983">
        <v>18</v>
      </c>
      <c r="M9" s="1983">
        <v>244</v>
      </c>
      <c r="N9" s="1983">
        <v>11</v>
      </c>
      <c r="O9" s="1983">
        <v>204</v>
      </c>
      <c r="P9" s="1983">
        <v>21</v>
      </c>
      <c r="Q9" s="605">
        <f t="shared" si="0"/>
        <v>253.83333333333334</v>
      </c>
      <c r="R9" s="605">
        <f t="shared" si="1"/>
        <v>15</v>
      </c>
      <c r="S9" s="1983">
        <v>618.39330000000007</v>
      </c>
      <c r="T9" s="507"/>
      <c r="AI9" s="2195" t="s">
        <v>985</v>
      </c>
      <c r="AJ9" s="2197" t="s">
        <v>1211</v>
      </c>
      <c r="AK9" s="291" t="s">
        <v>207</v>
      </c>
      <c r="AL9" s="708" t="s">
        <v>221</v>
      </c>
      <c r="AM9" s="1970">
        <v>108.5</v>
      </c>
      <c r="AN9" s="1970">
        <v>9.1666666666666661</v>
      </c>
      <c r="AO9" s="1970">
        <v>59.842274992500002</v>
      </c>
    </row>
    <row r="10" spans="1:41">
      <c r="A10" s="2435" t="s">
        <v>986</v>
      </c>
      <c r="B10" s="2453" t="s">
        <v>1216</v>
      </c>
      <c r="C10" s="291" t="s">
        <v>164</v>
      </c>
      <c r="D10" s="708" t="s">
        <v>228</v>
      </c>
      <c r="E10" s="2093">
        <v>293</v>
      </c>
      <c r="F10" s="2093">
        <v>18</v>
      </c>
      <c r="G10" s="2093">
        <v>298</v>
      </c>
      <c r="H10" s="2093">
        <v>25</v>
      </c>
      <c r="I10" s="2093">
        <v>226</v>
      </c>
      <c r="J10" s="2093">
        <v>13</v>
      </c>
      <c r="K10" s="2093">
        <v>202</v>
      </c>
      <c r="L10" s="2093">
        <v>14</v>
      </c>
      <c r="M10" s="2093">
        <v>189</v>
      </c>
      <c r="N10" s="2093">
        <v>16</v>
      </c>
      <c r="O10" s="2093">
        <v>173</v>
      </c>
      <c r="P10" s="2093">
        <v>15</v>
      </c>
      <c r="Q10" s="605">
        <f t="shared" si="0"/>
        <v>230.16666666666666</v>
      </c>
      <c r="R10" s="605">
        <f t="shared" si="1"/>
        <v>16.833333333333332</v>
      </c>
      <c r="S10" s="1983">
        <v>737.61374867250004</v>
      </c>
      <c r="T10" s="507"/>
      <c r="AI10" s="2196" t="s">
        <v>1201</v>
      </c>
      <c r="AJ10" s="2197" t="s">
        <v>726</v>
      </c>
      <c r="AK10" s="291" t="s">
        <v>1203</v>
      </c>
      <c r="AL10" s="708" t="s">
        <v>1202</v>
      </c>
      <c r="AM10" s="1970">
        <v>253.83333333333334</v>
      </c>
      <c r="AN10" s="1970">
        <v>15</v>
      </c>
      <c r="AO10" s="1970">
        <v>618.39330000000007</v>
      </c>
    </row>
    <row r="11" spans="1:41" ht="23">
      <c r="A11" s="2436"/>
      <c r="B11" s="2458"/>
      <c r="C11" s="291" t="s">
        <v>200</v>
      </c>
      <c r="D11" s="708" t="s">
        <v>216</v>
      </c>
      <c r="E11" s="2093">
        <v>442</v>
      </c>
      <c r="F11" s="2093">
        <v>43</v>
      </c>
      <c r="G11" s="2093">
        <v>333</v>
      </c>
      <c r="H11" s="2093">
        <v>38</v>
      </c>
      <c r="I11" s="2093">
        <v>272</v>
      </c>
      <c r="J11" s="2093">
        <v>18</v>
      </c>
      <c r="K11" s="2093">
        <v>479</v>
      </c>
      <c r="L11" s="2093">
        <v>55</v>
      </c>
      <c r="M11" s="2093">
        <v>437</v>
      </c>
      <c r="N11" s="2093">
        <v>31</v>
      </c>
      <c r="O11" s="2093">
        <v>432</v>
      </c>
      <c r="P11" s="2093">
        <v>20</v>
      </c>
      <c r="Q11" s="605">
        <f t="shared" si="0"/>
        <v>399.16666666666669</v>
      </c>
      <c r="R11" s="605">
        <f t="shared" si="1"/>
        <v>34.166666666666664</v>
      </c>
      <c r="S11" s="1983">
        <v>1524.8103252375004</v>
      </c>
      <c r="T11" s="507"/>
      <c r="AI11" s="2435" t="s">
        <v>986</v>
      </c>
      <c r="AJ11" s="2453" t="s">
        <v>1216</v>
      </c>
      <c r="AK11" s="291" t="s">
        <v>164</v>
      </c>
      <c r="AL11" s="708" t="s">
        <v>228</v>
      </c>
      <c r="AM11" s="1970">
        <v>230.16666666666666</v>
      </c>
      <c r="AN11" s="1970">
        <v>16.833333333333332</v>
      </c>
      <c r="AO11" s="1970">
        <v>737.61374867250004</v>
      </c>
    </row>
    <row r="12" spans="1:41" ht="23">
      <c r="A12" s="2436"/>
      <c r="B12" s="2458"/>
      <c r="C12" s="291" t="s">
        <v>201</v>
      </c>
      <c r="D12" s="708" t="s">
        <v>217</v>
      </c>
      <c r="E12" s="2093">
        <v>418</v>
      </c>
      <c r="F12" s="2093">
        <v>41</v>
      </c>
      <c r="G12" s="2093">
        <v>326</v>
      </c>
      <c r="H12" s="2093">
        <v>24</v>
      </c>
      <c r="I12" s="2093">
        <v>288</v>
      </c>
      <c r="J12" s="2093">
        <v>34</v>
      </c>
      <c r="K12" s="2093">
        <v>346</v>
      </c>
      <c r="L12" s="2093">
        <v>30</v>
      </c>
      <c r="M12" s="2093">
        <v>346</v>
      </c>
      <c r="N12" s="2093">
        <v>40</v>
      </c>
      <c r="O12" s="2093">
        <v>312</v>
      </c>
      <c r="P12" s="2093">
        <v>44</v>
      </c>
      <c r="Q12" s="605">
        <f t="shared" si="0"/>
        <v>339.33333333333331</v>
      </c>
      <c r="R12" s="605">
        <f t="shared" si="1"/>
        <v>35.5</v>
      </c>
      <c r="S12" s="1983">
        <v>1602.1422576810003</v>
      </c>
      <c r="T12" s="507"/>
      <c r="AI12" s="2436"/>
      <c r="AJ12" s="2458"/>
      <c r="AK12" s="291" t="s">
        <v>200</v>
      </c>
      <c r="AL12" s="708" t="s">
        <v>216</v>
      </c>
      <c r="AM12" s="1970">
        <v>399.16666666666669</v>
      </c>
      <c r="AN12" s="1970">
        <v>34.166666666666664</v>
      </c>
      <c r="AO12" s="1970">
        <v>1524.8103252375004</v>
      </c>
    </row>
    <row r="13" spans="1:41" ht="15" customHeight="1">
      <c r="A13" s="2436"/>
      <c r="B13" s="2458"/>
      <c r="C13" s="291" t="s">
        <v>202</v>
      </c>
      <c r="D13" s="708" t="s">
        <v>218</v>
      </c>
      <c r="E13" s="2093">
        <v>401</v>
      </c>
      <c r="F13" s="2093">
        <v>39</v>
      </c>
      <c r="G13" s="2093">
        <v>404</v>
      </c>
      <c r="H13" s="2093">
        <v>38</v>
      </c>
      <c r="I13" s="2093">
        <v>352</v>
      </c>
      <c r="J13" s="2093">
        <v>55</v>
      </c>
      <c r="K13" s="2093">
        <v>382</v>
      </c>
      <c r="L13" s="2093">
        <v>33</v>
      </c>
      <c r="M13" s="2093">
        <v>644</v>
      </c>
      <c r="N13" s="2093">
        <v>35</v>
      </c>
      <c r="O13" s="2093">
        <v>351</v>
      </c>
      <c r="P13" s="2093">
        <v>31</v>
      </c>
      <c r="Q13" s="605">
        <f t="shared" si="0"/>
        <v>422.33333333333331</v>
      </c>
      <c r="R13" s="605">
        <f t="shared" si="1"/>
        <v>38.5</v>
      </c>
      <c r="S13" s="1983">
        <v>1738.1582275365004</v>
      </c>
      <c r="T13" s="507"/>
      <c r="AI13" s="2436"/>
      <c r="AJ13" s="2458"/>
      <c r="AK13" s="291" t="s">
        <v>201</v>
      </c>
      <c r="AL13" s="708" t="s">
        <v>217</v>
      </c>
      <c r="AM13" s="1970">
        <v>339.33333333333331</v>
      </c>
      <c r="AN13" s="1970">
        <v>35.5</v>
      </c>
      <c r="AO13" s="1970">
        <v>1602.1422576810003</v>
      </c>
    </row>
    <row r="14" spans="1:41" ht="23">
      <c r="A14" s="2436"/>
      <c r="B14" s="2458"/>
      <c r="C14" s="291" t="s">
        <v>203</v>
      </c>
      <c r="D14" s="708" t="s">
        <v>219</v>
      </c>
      <c r="E14" s="2093">
        <v>518</v>
      </c>
      <c r="F14" s="2093">
        <v>56</v>
      </c>
      <c r="G14" s="2093">
        <v>367</v>
      </c>
      <c r="H14" s="2093">
        <v>46</v>
      </c>
      <c r="I14" s="2093">
        <v>307</v>
      </c>
      <c r="J14" s="2093">
        <v>26</v>
      </c>
      <c r="K14" s="2093">
        <v>381</v>
      </c>
      <c r="L14" s="2093">
        <v>34</v>
      </c>
      <c r="M14" s="2093">
        <v>622</v>
      </c>
      <c r="N14" s="2093">
        <v>37</v>
      </c>
      <c r="O14" s="2093">
        <v>388</v>
      </c>
      <c r="P14" s="2093">
        <v>22</v>
      </c>
      <c r="Q14" s="605">
        <f t="shared" si="0"/>
        <v>430.5</v>
      </c>
      <c r="R14" s="605">
        <f t="shared" si="1"/>
        <v>36.833333333333336</v>
      </c>
      <c r="S14" s="1983">
        <v>1676.6366430450005</v>
      </c>
      <c r="T14" s="507"/>
      <c r="AI14" s="2436"/>
      <c r="AJ14" s="2458"/>
      <c r="AK14" s="291" t="s">
        <v>202</v>
      </c>
      <c r="AL14" s="708" t="s">
        <v>218</v>
      </c>
      <c r="AM14" s="1970">
        <v>422.33333333333331</v>
      </c>
      <c r="AN14" s="1970">
        <v>38.5</v>
      </c>
      <c r="AO14" s="1970">
        <v>1738.1582275365004</v>
      </c>
    </row>
    <row r="15" spans="1:41" ht="15" customHeight="1">
      <c r="A15" s="2437"/>
      <c r="B15" s="2454"/>
      <c r="C15" s="291" t="s">
        <v>204</v>
      </c>
      <c r="D15" s="708" t="s">
        <v>229</v>
      </c>
      <c r="E15" s="2093">
        <v>867</v>
      </c>
      <c r="F15" s="2093">
        <v>152</v>
      </c>
      <c r="G15" s="2094">
        <v>402</v>
      </c>
      <c r="H15" s="2094">
        <v>37</v>
      </c>
      <c r="I15" s="2093">
        <v>276</v>
      </c>
      <c r="J15" s="2093">
        <v>24</v>
      </c>
      <c r="K15" s="2094">
        <v>278</v>
      </c>
      <c r="L15" s="2094">
        <v>37</v>
      </c>
      <c r="M15" s="2094">
        <v>589</v>
      </c>
      <c r="N15" s="2094">
        <v>36</v>
      </c>
      <c r="O15" s="2093">
        <v>459</v>
      </c>
      <c r="P15" s="2093">
        <v>45</v>
      </c>
      <c r="Q15" s="605">
        <f t="shared" si="0"/>
        <v>478.5</v>
      </c>
      <c r="R15" s="605">
        <f t="shared" si="1"/>
        <v>55.166666666666664</v>
      </c>
      <c r="S15" s="1983">
        <v>2083.1024378745005</v>
      </c>
      <c r="T15" s="507"/>
      <c r="AI15" s="2436"/>
      <c r="AJ15" s="2458"/>
      <c r="AK15" s="291" t="s">
        <v>203</v>
      </c>
      <c r="AL15" s="708" t="s">
        <v>219</v>
      </c>
      <c r="AM15" s="1970">
        <v>430.5</v>
      </c>
      <c r="AN15" s="1970">
        <v>36.833333333333336</v>
      </c>
      <c r="AO15" s="1970">
        <v>1676.6366430450005</v>
      </c>
    </row>
    <row r="16" spans="1:41" ht="14" customHeight="1">
      <c r="A16" s="1109" t="s">
        <v>988</v>
      </c>
      <c r="B16" s="2453" t="s">
        <v>1864</v>
      </c>
      <c r="C16" s="291" t="s">
        <v>1259</v>
      </c>
      <c r="D16" s="708" t="s">
        <v>1261</v>
      </c>
      <c r="E16" s="2093">
        <v>691</v>
      </c>
      <c r="F16" s="2093">
        <v>30</v>
      </c>
      <c r="G16" s="2093">
        <v>561</v>
      </c>
      <c r="H16" s="2093">
        <v>70</v>
      </c>
      <c r="I16" s="2093">
        <v>424</v>
      </c>
      <c r="J16" s="2093">
        <v>29</v>
      </c>
      <c r="K16" s="2093">
        <v>324</v>
      </c>
      <c r="L16" s="2093">
        <v>26</v>
      </c>
      <c r="M16" s="2093">
        <v>161</v>
      </c>
      <c r="N16" s="2093">
        <v>23</v>
      </c>
      <c r="O16" s="2093">
        <v>87</v>
      </c>
      <c r="P16" s="2093">
        <v>18</v>
      </c>
      <c r="Q16" s="605">
        <f t="shared" si="0"/>
        <v>374.66666666666669</v>
      </c>
      <c r="R16" s="605">
        <f t="shared" si="1"/>
        <v>32.666666666666664</v>
      </c>
      <c r="S16" s="1983">
        <v>205.31853501599997</v>
      </c>
      <c r="T16" s="507"/>
      <c r="AI16" s="2437"/>
      <c r="AJ16" s="2454"/>
      <c r="AK16" s="291" t="s">
        <v>204</v>
      </c>
      <c r="AL16" s="708" t="s">
        <v>229</v>
      </c>
      <c r="AM16" s="1970">
        <v>478.5</v>
      </c>
      <c r="AN16" s="1970">
        <v>55.166666666666664</v>
      </c>
      <c r="AO16" s="1970">
        <v>2083.1024378745005</v>
      </c>
    </row>
    <row r="17" spans="1:41">
      <c r="A17" s="1110"/>
      <c r="B17" s="2458"/>
      <c r="C17" s="292" t="s">
        <v>357</v>
      </c>
      <c r="D17" s="788" t="s">
        <v>359</v>
      </c>
      <c r="E17" s="2093">
        <v>838</v>
      </c>
      <c r="F17" s="2093">
        <v>65</v>
      </c>
      <c r="G17" s="2093">
        <v>634</v>
      </c>
      <c r="H17" s="2093">
        <v>61</v>
      </c>
      <c r="I17" s="2093">
        <v>478</v>
      </c>
      <c r="J17" s="2093">
        <v>37</v>
      </c>
      <c r="K17" s="2093">
        <v>229</v>
      </c>
      <c r="L17" s="2093">
        <v>29</v>
      </c>
      <c r="M17" s="2093">
        <v>337</v>
      </c>
      <c r="N17" s="2093">
        <v>66</v>
      </c>
      <c r="O17" s="2093">
        <v>637</v>
      </c>
      <c r="P17" s="2093">
        <v>29</v>
      </c>
      <c r="Q17" s="605">
        <f t="shared" si="0"/>
        <v>525.5</v>
      </c>
      <c r="R17" s="605">
        <f t="shared" si="1"/>
        <v>47.833333333333336</v>
      </c>
      <c r="S17" s="1983">
        <v>9.2982988980000023</v>
      </c>
      <c r="T17" s="507"/>
      <c r="AI17" s="1109" t="s">
        <v>988</v>
      </c>
      <c r="AJ17" s="2453" t="s">
        <v>1864</v>
      </c>
      <c r="AK17" s="291" t="s">
        <v>1259</v>
      </c>
      <c r="AL17" s="708" t="s">
        <v>1261</v>
      </c>
      <c r="AM17" s="1970">
        <v>374.66666666666669</v>
      </c>
      <c r="AN17" s="1970">
        <v>32.666666666666664</v>
      </c>
      <c r="AO17" s="1970">
        <v>205.31853501599997</v>
      </c>
    </row>
    <row r="18" spans="1:41">
      <c r="A18" s="1111"/>
      <c r="B18" s="2454"/>
      <c r="C18" s="290" t="s">
        <v>498</v>
      </c>
      <c r="D18" s="787" t="s">
        <v>358</v>
      </c>
      <c r="E18" s="2093">
        <v>1420</v>
      </c>
      <c r="F18" s="2093">
        <v>107</v>
      </c>
      <c r="G18" s="2093">
        <v>1246</v>
      </c>
      <c r="H18" s="2093">
        <v>153</v>
      </c>
      <c r="I18" s="2093">
        <v>911</v>
      </c>
      <c r="J18" s="2093">
        <v>147</v>
      </c>
      <c r="K18" s="2093">
        <v>495</v>
      </c>
      <c r="L18" s="2093">
        <v>111</v>
      </c>
      <c r="M18" s="2093">
        <v>605</v>
      </c>
      <c r="N18" s="2093">
        <v>150</v>
      </c>
      <c r="O18" s="2093">
        <v>706</v>
      </c>
      <c r="P18" s="2093">
        <v>109</v>
      </c>
      <c r="Q18" s="605">
        <f t="shared" si="0"/>
        <v>897.16666666666663</v>
      </c>
      <c r="R18" s="605">
        <f t="shared" si="1"/>
        <v>129.5</v>
      </c>
      <c r="S18" s="1983">
        <v>268.51672915199998</v>
      </c>
      <c r="T18" s="507"/>
      <c r="AI18" s="1110"/>
      <c r="AJ18" s="2458"/>
      <c r="AK18" s="292" t="s">
        <v>357</v>
      </c>
      <c r="AL18" s="788" t="s">
        <v>359</v>
      </c>
      <c r="AM18" s="1970">
        <v>525.5</v>
      </c>
      <c r="AN18" s="1970">
        <v>47.833333333333336</v>
      </c>
      <c r="AO18" s="1970">
        <v>9.2982988980000023</v>
      </c>
    </row>
    <row r="19" spans="1:41">
      <c r="A19" s="785" t="s">
        <v>987</v>
      </c>
      <c r="B19" s="1118" t="s">
        <v>1264</v>
      </c>
      <c r="C19" s="290" t="s">
        <v>1387</v>
      </c>
      <c r="D19" s="787" t="s">
        <v>360</v>
      </c>
      <c r="E19" s="2093">
        <v>969</v>
      </c>
      <c r="F19" s="2093">
        <v>13</v>
      </c>
      <c r="G19" s="2093">
        <v>803</v>
      </c>
      <c r="H19" s="2093">
        <v>11</v>
      </c>
      <c r="I19" s="1978"/>
      <c r="J19" s="1978"/>
      <c r="K19" s="1978"/>
      <c r="L19" s="1978"/>
      <c r="M19" s="1978"/>
      <c r="N19" s="1978"/>
      <c r="O19" s="1978"/>
      <c r="P19" s="1978"/>
      <c r="Q19" s="605">
        <f>AVERAGE(E19,G19,I19,K19,M19,O19)</f>
        <v>886</v>
      </c>
      <c r="R19" s="605">
        <f>AVERAGE(F19,H19,J19,L19,N19,P19)</f>
        <v>12</v>
      </c>
      <c r="S19" s="1983">
        <v>5.8316857200000003</v>
      </c>
      <c r="T19" s="507"/>
      <c r="AI19" s="1111"/>
      <c r="AJ19" s="2454"/>
      <c r="AK19" s="290" t="s">
        <v>498</v>
      </c>
      <c r="AL19" s="787" t="s">
        <v>358</v>
      </c>
      <c r="AM19" s="1970">
        <v>897.16666666666663</v>
      </c>
      <c r="AN19" s="1970">
        <v>129.5</v>
      </c>
      <c r="AO19" s="1970">
        <v>268.51672915199998</v>
      </c>
    </row>
    <row r="20" spans="1:41">
      <c r="A20" s="785" t="s">
        <v>1212</v>
      </c>
      <c r="B20" s="95" t="s">
        <v>1217</v>
      </c>
      <c r="C20" s="290" t="s">
        <v>321</v>
      </c>
      <c r="D20" s="787" t="s">
        <v>1206</v>
      </c>
      <c r="E20" s="2095">
        <v>674</v>
      </c>
      <c r="F20" s="2095">
        <v>25</v>
      </c>
      <c r="G20" s="2095">
        <v>446</v>
      </c>
      <c r="H20" s="2095">
        <v>50</v>
      </c>
      <c r="I20" s="2095">
        <v>334</v>
      </c>
      <c r="J20" s="2095">
        <v>35</v>
      </c>
      <c r="K20" s="2095">
        <v>451</v>
      </c>
      <c r="L20" s="2095">
        <v>29</v>
      </c>
      <c r="M20" s="2095">
        <v>750</v>
      </c>
      <c r="N20" s="2095">
        <v>121</v>
      </c>
      <c r="O20" s="2095">
        <v>613</v>
      </c>
      <c r="P20" s="2095">
        <v>23</v>
      </c>
      <c r="Q20" s="605">
        <f t="shared" si="0"/>
        <v>544.66666666666663</v>
      </c>
      <c r="R20" s="605">
        <f t="shared" si="1"/>
        <v>47.166666666666664</v>
      </c>
      <c r="S20" s="1983">
        <v>1608.2609830000001</v>
      </c>
      <c r="T20" s="507"/>
      <c r="AI20" s="2196" t="s">
        <v>987</v>
      </c>
      <c r="AJ20" s="1118" t="s">
        <v>1264</v>
      </c>
      <c r="AK20" s="290" t="s">
        <v>1387</v>
      </c>
      <c r="AL20" s="787" t="s">
        <v>360</v>
      </c>
      <c r="AM20" s="1970">
        <v>886</v>
      </c>
      <c r="AN20" s="1970">
        <v>12</v>
      </c>
      <c r="AO20" s="1970">
        <v>5.8316857200000003</v>
      </c>
    </row>
    <row r="21" spans="1:41">
      <c r="A21" s="95" t="s">
        <v>990</v>
      </c>
      <c r="B21" s="95" t="s">
        <v>848</v>
      </c>
      <c r="C21" s="791" t="s">
        <v>206</v>
      </c>
      <c r="D21" s="708" t="s">
        <v>225</v>
      </c>
      <c r="E21" s="2093">
        <v>558</v>
      </c>
      <c r="F21" s="2093">
        <v>12</v>
      </c>
      <c r="G21" s="2093">
        <v>322</v>
      </c>
      <c r="H21" s="2093">
        <v>14</v>
      </c>
      <c r="I21" s="2093">
        <v>276</v>
      </c>
      <c r="J21" s="2093">
        <v>13</v>
      </c>
      <c r="K21" s="2093">
        <v>342</v>
      </c>
      <c r="L21" s="2093">
        <v>111</v>
      </c>
      <c r="M21" s="2093">
        <v>376</v>
      </c>
      <c r="N21" s="2093">
        <v>21</v>
      </c>
      <c r="O21" s="2093">
        <v>191</v>
      </c>
      <c r="P21" s="2093">
        <v>12</v>
      </c>
      <c r="Q21" s="605">
        <f t="shared" si="0"/>
        <v>344.16666666666669</v>
      </c>
      <c r="R21" s="605">
        <f t="shared" si="1"/>
        <v>30.5</v>
      </c>
      <c r="S21" s="1983">
        <v>35.227431530550007</v>
      </c>
      <c r="T21" s="507"/>
      <c r="AI21" s="2196" t="s">
        <v>1212</v>
      </c>
      <c r="AJ21" s="2197" t="s">
        <v>1217</v>
      </c>
      <c r="AK21" s="290" t="s">
        <v>321</v>
      </c>
      <c r="AL21" s="787" t="s">
        <v>1206</v>
      </c>
      <c r="AM21" s="1970">
        <v>544.66666666666663</v>
      </c>
      <c r="AN21" s="1970">
        <v>47.166666666666664</v>
      </c>
      <c r="AO21" s="1970">
        <v>1608.2609830000001</v>
      </c>
    </row>
    <row r="22" spans="1:41" ht="15" customHeight="1">
      <c r="A22" s="2428" t="s">
        <v>989</v>
      </c>
      <c r="B22" s="2453" t="s">
        <v>848</v>
      </c>
      <c r="C22" s="791" t="s">
        <v>205</v>
      </c>
      <c r="D22" s="708" t="s">
        <v>696</v>
      </c>
      <c r="E22" s="2093">
        <v>403</v>
      </c>
      <c r="F22" s="2093">
        <v>31</v>
      </c>
      <c r="G22" s="2093">
        <v>524</v>
      </c>
      <c r="H22" s="2093">
        <v>26</v>
      </c>
      <c r="I22" s="2093">
        <v>498</v>
      </c>
      <c r="J22" s="2093">
        <v>30</v>
      </c>
      <c r="K22" s="2093">
        <v>556</v>
      </c>
      <c r="L22" s="2093">
        <v>87</v>
      </c>
      <c r="M22" s="2093">
        <v>524</v>
      </c>
      <c r="N22" s="2093">
        <v>103</v>
      </c>
      <c r="O22" s="2093">
        <v>246</v>
      </c>
      <c r="P22" s="2093">
        <v>16</v>
      </c>
      <c r="Q22" s="605">
        <f t="shared" si="0"/>
        <v>458.5</v>
      </c>
      <c r="R22" s="605">
        <f t="shared" si="1"/>
        <v>48.833333333333336</v>
      </c>
      <c r="S22" s="1983">
        <v>14.713667054100002</v>
      </c>
      <c r="T22" s="507"/>
      <c r="AI22" s="2197" t="s">
        <v>990</v>
      </c>
      <c r="AJ22" s="2197" t="s">
        <v>848</v>
      </c>
      <c r="AK22" s="791" t="s">
        <v>206</v>
      </c>
      <c r="AL22" s="708" t="s">
        <v>225</v>
      </c>
      <c r="AM22" s="1970">
        <v>344.16666666666669</v>
      </c>
      <c r="AN22" s="1970">
        <v>30.5</v>
      </c>
      <c r="AO22" s="1970">
        <v>35.227431530550007</v>
      </c>
    </row>
    <row r="23" spans="1:41" ht="23">
      <c r="A23" s="2429"/>
      <c r="B23" s="2454"/>
      <c r="C23" s="464" t="s">
        <v>334</v>
      </c>
      <c r="D23" s="1114" t="s">
        <v>1218</v>
      </c>
      <c r="E23" s="1985">
        <v>625</v>
      </c>
      <c r="F23" s="1985">
        <v>7</v>
      </c>
      <c r="G23" s="1988">
        <v>463</v>
      </c>
      <c r="H23" s="1988">
        <v>28</v>
      </c>
      <c r="I23" s="1988">
        <v>679</v>
      </c>
      <c r="J23" s="1988">
        <v>15</v>
      </c>
      <c r="K23" s="1972">
        <v>507</v>
      </c>
      <c r="L23" s="1972">
        <v>41</v>
      </c>
      <c r="M23" s="1972">
        <v>657</v>
      </c>
      <c r="N23" s="1972">
        <v>6</v>
      </c>
      <c r="O23" s="1985">
        <v>725</v>
      </c>
      <c r="P23" s="1985">
        <v>13</v>
      </c>
      <c r="Q23" s="605">
        <f t="shared" si="0"/>
        <v>609.33333333333337</v>
      </c>
      <c r="R23" s="605">
        <f t="shared" si="1"/>
        <v>18.333333333333332</v>
      </c>
      <c r="S23" s="1983">
        <v>49.821823333333327</v>
      </c>
      <c r="T23" s="507"/>
      <c r="AI23" s="2428" t="s">
        <v>989</v>
      </c>
      <c r="AJ23" s="2453" t="s">
        <v>848</v>
      </c>
      <c r="AK23" s="791" t="s">
        <v>205</v>
      </c>
      <c r="AL23" s="708" t="s">
        <v>696</v>
      </c>
      <c r="AM23" s="1970">
        <v>458.5</v>
      </c>
      <c r="AN23" s="1970">
        <v>48.833333333333336</v>
      </c>
      <c r="AO23" s="1970">
        <v>14.713667054100002</v>
      </c>
    </row>
    <row r="24" spans="1:41" ht="15" customHeight="1">
      <c r="A24" s="785" t="s">
        <v>1213</v>
      </c>
      <c r="B24" s="95" t="s">
        <v>859</v>
      </c>
      <c r="C24" s="290" t="s">
        <v>1204</v>
      </c>
      <c r="D24" s="787" t="s">
        <v>1205</v>
      </c>
      <c r="E24" s="1985">
        <v>737</v>
      </c>
      <c r="F24" s="1985">
        <v>18</v>
      </c>
      <c r="G24" s="1988">
        <v>516</v>
      </c>
      <c r="H24" s="1988">
        <v>31</v>
      </c>
      <c r="I24" s="1988">
        <v>429</v>
      </c>
      <c r="J24" s="1988">
        <v>25</v>
      </c>
      <c r="K24" s="1972">
        <v>502</v>
      </c>
      <c r="L24" s="1972">
        <v>46</v>
      </c>
      <c r="M24" s="1972">
        <v>369</v>
      </c>
      <c r="N24" s="1972">
        <v>27</v>
      </c>
      <c r="O24" s="1985">
        <v>606</v>
      </c>
      <c r="P24" s="1985">
        <v>64</v>
      </c>
      <c r="Q24" s="605">
        <f t="shared" si="0"/>
        <v>526.5</v>
      </c>
      <c r="R24" s="605">
        <f t="shared" si="1"/>
        <v>35.166666666666664</v>
      </c>
      <c r="S24" s="1983">
        <v>1294.6594266666666</v>
      </c>
      <c r="T24" s="507"/>
      <c r="AI24" s="2429"/>
      <c r="AJ24" s="2454"/>
      <c r="AK24" s="464" t="s">
        <v>334</v>
      </c>
      <c r="AL24" s="1114" t="s">
        <v>1218</v>
      </c>
      <c r="AM24" s="1970">
        <v>609.33333333333337</v>
      </c>
      <c r="AN24" s="1970">
        <v>18.333333333333332</v>
      </c>
      <c r="AO24" s="1970">
        <v>49.821823333333327</v>
      </c>
    </row>
    <row r="25" spans="1:41" ht="15" customHeight="1">
      <c r="A25" s="2452" t="s">
        <v>1215</v>
      </c>
      <c r="B25" s="2453" t="s">
        <v>1214</v>
      </c>
      <c r="C25" s="290" t="s">
        <v>327</v>
      </c>
      <c r="D25" s="1115" t="s">
        <v>1208</v>
      </c>
      <c r="E25" s="1985">
        <v>811</v>
      </c>
      <c r="F25" s="1985">
        <v>28</v>
      </c>
      <c r="G25" s="1988">
        <v>521</v>
      </c>
      <c r="H25" s="1988">
        <v>24</v>
      </c>
      <c r="I25" s="1988">
        <v>409</v>
      </c>
      <c r="J25" s="1988">
        <v>33</v>
      </c>
      <c r="K25" s="1972">
        <v>572</v>
      </c>
      <c r="L25" s="1972">
        <v>35</v>
      </c>
      <c r="M25" s="1972">
        <v>546</v>
      </c>
      <c r="N25" s="1972">
        <v>55</v>
      </c>
      <c r="O25" s="1985">
        <v>371</v>
      </c>
      <c r="P25" s="1985">
        <v>33</v>
      </c>
      <c r="Q25" s="605">
        <f t="shared" si="0"/>
        <v>538.33333333333337</v>
      </c>
      <c r="R25" s="605">
        <f t="shared" si="1"/>
        <v>34.666666666666664</v>
      </c>
      <c r="S25" s="1983">
        <v>1184.1201493333333</v>
      </c>
      <c r="T25" s="507"/>
      <c r="AI25" s="2196" t="s">
        <v>1213</v>
      </c>
      <c r="AJ25" s="2197" t="s">
        <v>859</v>
      </c>
      <c r="AK25" s="290" t="s">
        <v>1204</v>
      </c>
      <c r="AL25" s="787" t="s">
        <v>1205</v>
      </c>
      <c r="AM25" s="1970">
        <v>526.5</v>
      </c>
      <c r="AN25" s="1970">
        <v>35.166666666666664</v>
      </c>
      <c r="AO25" s="1970">
        <v>1294.6594266666666</v>
      </c>
    </row>
    <row r="26" spans="1:41">
      <c r="A26" s="2452"/>
      <c r="B26" s="2454"/>
      <c r="C26" s="790" t="s">
        <v>793</v>
      </c>
      <c r="D26" s="1116" t="s">
        <v>1207</v>
      </c>
      <c r="E26" s="1985">
        <v>624</v>
      </c>
      <c r="F26" s="1985">
        <v>17</v>
      </c>
      <c r="G26" s="1985">
        <v>522</v>
      </c>
      <c r="H26" s="1985">
        <v>35</v>
      </c>
      <c r="I26" s="1972">
        <v>477</v>
      </c>
      <c r="J26" s="1972">
        <v>59</v>
      </c>
      <c r="K26" s="1972">
        <v>679</v>
      </c>
      <c r="L26" s="1972">
        <v>89</v>
      </c>
      <c r="M26" s="1972">
        <v>911</v>
      </c>
      <c r="N26" s="1972">
        <v>111</v>
      </c>
      <c r="O26" s="1985">
        <v>650</v>
      </c>
      <c r="P26" s="1985">
        <v>18</v>
      </c>
      <c r="Q26" s="605">
        <f t="shared" si="0"/>
        <v>643.83333333333337</v>
      </c>
      <c r="R26" s="605">
        <f t="shared" si="1"/>
        <v>54.833333333333336</v>
      </c>
      <c r="S26" s="1983">
        <v>2192.9331048333338</v>
      </c>
      <c r="T26" s="507"/>
      <c r="AI26" s="2452" t="s">
        <v>1215</v>
      </c>
      <c r="AJ26" s="2453" t="s">
        <v>1214</v>
      </c>
      <c r="AK26" s="290" t="s">
        <v>327</v>
      </c>
      <c r="AL26" s="1115" t="s">
        <v>1208</v>
      </c>
      <c r="AM26" s="1970">
        <v>538.33333333333337</v>
      </c>
      <c r="AN26" s="1970">
        <v>34.666666666666664</v>
      </c>
      <c r="AO26" s="1970">
        <v>1184.1201493333333</v>
      </c>
    </row>
    <row r="27" spans="1:41" ht="18" customHeight="1">
      <c r="A27" s="204"/>
      <c r="B27" s="204"/>
      <c r="C27" s="60"/>
      <c r="L27" s="12"/>
      <c r="M27" s="47"/>
      <c r="R27" s="507"/>
      <c r="S27" s="507"/>
      <c r="T27" s="507"/>
      <c r="AI27" s="2452"/>
      <c r="AJ27" s="2454"/>
      <c r="AK27" s="790" t="s">
        <v>793</v>
      </c>
      <c r="AL27" s="1116" t="s">
        <v>1207</v>
      </c>
      <c r="AM27" s="1970">
        <v>643.83333333333337</v>
      </c>
      <c r="AN27" s="1970">
        <v>54.833333333333336</v>
      </c>
      <c r="AO27" s="1970">
        <v>2192.9331048333338</v>
      </c>
    </row>
    <row r="28" spans="1:41">
      <c r="A28" s="204"/>
      <c r="B28" s="204"/>
      <c r="C28" s="60"/>
      <c r="D28" s="92"/>
      <c r="E28" s="92"/>
      <c r="F28" s="92"/>
      <c r="G28" s="92"/>
      <c r="H28" s="92"/>
      <c r="I28" s="92"/>
      <c r="J28" s="92"/>
      <c r="K28" s="92"/>
      <c r="L28" s="49"/>
      <c r="M28" s="47"/>
      <c r="R28" s="507"/>
      <c r="S28" s="507"/>
      <c r="T28" s="507"/>
    </row>
    <row r="29" spans="1:41">
      <c r="A29" s="204"/>
      <c r="B29" s="204"/>
      <c r="C29" s="60"/>
      <c r="D29" s="92"/>
      <c r="E29" s="92"/>
      <c r="F29" s="92"/>
      <c r="G29" s="92"/>
      <c r="H29" s="92"/>
      <c r="I29" s="92"/>
      <c r="J29" s="92"/>
      <c r="K29" s="92"/>
      <c r="L29" s="12"/>
      <c r="M29" s="47"/>
      <c r="R29" s="507"/>
      <c r="S29" s="507"/>
      <c r="T29" s="507"/>
    </row>
    <row r="30" spans="1:41">
      <c r="A30" s="204"/>
      <c r="B30" s="204"/>
      <c r="C30" s="60"/>
      <c r="D30" s="92"/>
      <c r="E30" s="92"/>
      <c r="F30" s="92"/>
      <c r="G30" s="92"/>
      <c r="H30" s="92"/>
      <c r="I30" s="92"/>
      <c r="J30" s="92"/>
      <c r="K30" s="92"/>
      <c r="L30" s="12"/>
      <c r="M30" s="47"/>
      <c r="R30" s="507"/>
      <c r="S30" s="507"/>
      <c r="T30" s="507"/>
    </row>
    <row r="31" spans="1:41">
      <c r="A31" s="204"/>
      <c r="B31" s="204"/>
      <c r="C31" s="60"/>
      <c r="D31" s="92"/>
      <c r="E31" s="92"/>
      <c r="F31" s="92"/>
      <c r="G31" s="92"/>
      <c r="H31" s="92"/>
      <c r="I31" s="92"/>
      <c r="J31" s="92"/>
      <c r="K31" s="92"/>
      <c r="L31" s="49"/>
      <c r="M31" s="47"/>
      <c r="R31" s="507"/>
      <c r="S31" s="507"/>
      <c r="T31" s="507"/>
    </row>
    <row r="32" spans="1:41">
      <c r="A32" s="204"/>
      <c r="B32" s="204"/>
      <c r="C32" s="60"/>
      <c r="D32" s="92"/>
      <c r="E32" s="92"/>
      <c r="F32" s="92"/>
      <c r="G32" s="92"/>
      <c r="H32" s="92"/>
      <c r="I32" s="92"/>
      <c r="J32" s="92"/>
      <c r="K32" s="92"/>
      <c r="L32" s="12"/>
      <c r="M32" s="47"/>
      <c r="R32" s="507"/>
      <c r="S32" s="507"/>
      <c r="T32" s="507"/>
    </row>
    <row r="33" spans="3:20">
      <c r="C33" s="60"/>
      <c r="D33" s="92"/>
      <c r="E33" s="92"/>
      <c r="F33" s="92"/>
      <c r="G33" s="92"/>
      <c r="H33" s="92"/>
      <c r="I33" s="92"/>
      <c r="J33" s="92"/>
      <c r="K33" s="92"/>
      <c r="L33" s="49"/>
      <c r="M33" s="47"/>
      <c r="R33" s="507"/>
      <c r="S33" s="507"/>
      <c r="T33" s="507"/>
    </row>
    <row r="34" spans="3:20">
      <c r="C34" s="60"/>
      <c r="D34" s="92"/>
      <c r="E34" s="92"/>
      <c r="F34" s="92"/>
      <c r="G34" s="92"/>
      <c r="H34" s="92"/>
      <c r="I34" s="92"/>
      <c r="J34" s="92"/>
      <c r="K34" s="92"/>
      <c r="L34" s="12"/>
      <c r="M34" s="47"/>
      <c r="R34" s="507"/>
      <c r="S34" s="507"/>
      <c r="T34" s="507"/>
    </row>
    <row r="35" spans="3:20">
      <c r="C35" s="60"/>
      <c r="D35" s="92"/>
      <c r="E35" s="92"/>
      <c r="F35" s="92"/>
      <c r="G35" s="92"/>
      <c r="H35" s="92"/>
      <c r="I35" s="92"/>
      <c r="J35" s="92"/>
      <c r="K35" s="92"/>
      <c r="L35" s="12"/>
      <c r="M35" s="47"/>
      <c r="R35" s="507"/>
      <c r="S35" s="507"/>
      <c r="T35" s="507"/>
    </row>
    <row r="36" spans="3:20" ht="14" customHeight="1">
      <c r="C36" s="60"/>
      <c r="D36" s="92"/>
      <c r="E36" s="92"/>
      <c r="F36" s="92"/>
      <c r="G36" s="92"/>
      <c r="H36" s="92"/>
      <c r="I36" s="92"/>
      <c r="J36" s="92"/>
      <c r="K36" s="92"/>
      <c r="L36" s="49"/>
      <c r="M36" s="47"/>
      <c r="R36" s="507"/>
      <c r="S36" s="507"/>
      <c r="T36" s="507"/>
    </row>
    <row r="37" spans="3:20">
      <c r="C37" s="60"/>
      <c r="D37" s="92"/>
      <c r="E37" s="92"/>
      <c r="F37" s="92"/>
      <c r="G37" s="92"/>
      <c r="H37" s="92"/>
      <c r="I37" s="92"/>
      <c r="J37" s="92"/>
      <c r="K37" s="92"/>
      <c r="L37" s="12"/>
      <c r="M37" s="47"/>
      <c r="R37" s="507"/>
      <c r="S37" s="507"/>
      <c r="T37" s="507"/>
    </row>
    <row r="38" spans="3:20">
      <c r="C38" s="60"/>
      <c r="D38" s="92"/>
      <c r="E38" s="92"/>
      <c r="F38" s="92"/>
      <c r="G38" s="92"/>
      <c r="H38" s="92"/>
      <c r="I38" s="92"/>
      <c r="J38" s="92"/>
      <c r="K38" s="92"/>
      <c r="L38" s="12"/>
      <c r="M38" s="47"/>
      <c r="R38" s="507"/>
      <c r="S38" s="507"/>
      <c r="T38" s="507"/>
    </row>
    <row r="39" spans="3:20">
      <c r="C39" s="60"/>
      <c r="D39" s="92"/>
      <c r="E39" s="92"/>
      <c r="F39" s="92"/>
      <c r="G39" s="92"/>
      <c r="H39" s="92"/>
      <c r="I39" s="92"/>
      <c r="J39" s="92"/>
      <c r="K39" s="92"/>
      <c r="L39" s="49"/>
      <c r="M39" s="47"/>
      <c r="R39" s="507"/>
      <c r="S39" s="507"/>
      <c r="T39" s="507"/>
    </row>
    <row r="40" spans="3:20">
      <c r="C40" s="60"/>
      <c r="D40" s="92"/>
      <c r="E40" s="92"/>
      <c r="F40" s="92"/>
      <c r="G40" s="92"/>
      <c r="H40" s="92"/>
      <c r="I40" s="92"/>
      <c r="J40" s="92"/>
      <c r="K40" s="92"/>
      <c r="L40" s="12"/>
      <c r="M40" s="47"/>
      <c r="R40" s="507"/>
      <c r="S40" s="507"/>
      <c r="T40" s="507"/>
    </row>
    <row r="41" spans="3:20">
      <c r="C41" s="60"/>
      <c r="D41" s="92"/>
      <c r="E41" s="92"/>
      <c r="F41" s="92"/>
      <c r="G41" s="92"/>
      <c r="H41" s="92"/>
      <c r="I41" s="92"/>
      <c r="J41" s="92"/>
      <c r="K41" s="92"/>
      <c r="L41" s="12"/>
      <c r="M41" s="47"/>
      <c r="R41" s="507"/>
      <c r="S41" s="507"/>
      <c r="T41" s="507"/>
    </row>
    <row r="42" spans="3:20">
      <c r="C42" s="60"/>
      <c r="D42" s="92"/>
      <c r="E42" s="92"/>
      <c r="F42" s="92"/>
      <c r="G42" s="92"/>
      <c r="H42" s="92"/>
      <c r="I42" s="92"/>
      <c r="J42" s="92"/>
      <c r="K42" s="92"/>
      <c r="L42" s="49"/>
      <c r="M42" s="47"/>
      <c r="R42" s="507"/>
      <c r="S42" s="507"/>
      <c r="T42" s="507"/>
    </row>
    <row r="43" spans="3:20">
      <c r="C43" s="60"/>
      <c r="D43" s="92"/>
      <c r="E43" s="92"/>
      <c r="F43" s="92"/>
      <c r="G43" s="92"/>
      <c r="H43" s="92"/>
      <c r="I43" s="92"/>
      <c r="J43" s="92"/>
      <c r="K43" s="92"/>
      <c r="L43" s="12"/>
      <c r="M43" s="47"/>
    </row>
    <row r="44" spans="3:20">
      <c r="C44" s="60"/>
      <c r="D44" s="92"/>
      <c r="E44" s="92"/>
      <c r="F44" s="92"/>
      <c r="G44" s="92"/>
      <c r="H44" s="92"/>
      <c r="I44" s="92"/>
      <c r="J44" s="92"/>
      <c r="K44" s="92"/>
      <c r="L44" s="12"/>
      <c r="M44" s="47"/>
    </row>
    <row r="45" spans="3:20" ht="14" customHeight="1">
      <c r="C45" s="60"/>
      <c r="D45" s="92"/>
      <c r="E45" s="92"/>
      <c r="F45" s="92"/>
      <c r="G45" s="92"/>
      <c r="H45" s="92"/>
      <c r="I45" s="92"/>
      <c r="J45" s="92"/>
      <c r="K45" s="92"/>
      <c r="L45" s="49"/>
      <c r="M45" s="47"/>
    </row>
    <row r="46" spans="3:20">
      <c r="C46" s="60"/>
      <c r="D46" s="92"/>
      <c r="E46" s="92"/>
      <c r="F46" s="92"/>
      <c r="G46" s="92"/>
      <c r="H46" s="92"/>
      <c r="I46" s="92"/>
      <c r="J46" s="92"/>
      <c r="K46" s="92"/>
      <c r="L46" s="12"/>
      <c r="M46" s="47"/>
    </row>
    <row r="47" spans="3:20">
      <c r="C47" s="60"/>
      <c r="D47" s="92"/>
      <c r="E47" s="92"/>
      <c r="F47" s="92"/>
      <c r="G47" s="92"/>
      <c r="H47" s="92"/>
      <c r="I47" s="92"/>
      <c r="J47" s="92"/>
      <c r="K47" s="92"/>
      <c r="L47" s="12"/>
      <c r="M47" s="47"/>
    </row>
    <row r="48" spans="3:20">
      <c r="C48" s="60"/>
      <c r="D48" s="92"/>
      <c r="E48" s="92"/>
      <c r="F48" s="92"/>
      <c r="G48" s="92"/>
      <c r="H48" s="92"/>
      <c r="I48" s="92"/>
      <c r="J48" s="92"/>
      <c r="K48" s="92"/>
      <c r="L48" s="49"/>
      <c r="M48" s="47"/>
    </row>
    <row r="49" spans="3:13">
      <c r="C49" s="60"/>
      <c r="D49" s="92"/>
      <c r="E49" s="92"/>
      <c r="F49" s="92"/>
      <c r="G49" s="92"/>
      <c r="H49" s="92"/>
      <c r="I49" s="92"/>
      <c r="J49" s="92"/>
      <c r="K49" s="92"/>
      <c r="L49" s="12"/>
      <c r="M49" s="47"/>
    </row>
    <row r="50" spans="3:13">
      <c r="C50" s="60"/>
      <c r="D50" s="92"/>
      <c r="E50" s="92"/>
      <c r="F50" s="92"/>
      <c r="G50" s="92"/>
      <c r="H50" s="92"/>
      <c r="I50" s="92"/>
      <c r="J50" s="92"/>
      <c r="K50" s="92"/>
      <c r="L50" s="12"/>
      <c r="M50" s="47"/>
    </row>
    <row r="51" spans="3:13">
      <c r="C51" s="60"/>
      <c r="D51" s="92"/>
      <c r="E51" s="92"/>
      <c r="F51" s="92"/>
      <c r="G51" s="92"/>
      <c r="H51" s="92"/>
      <c r="I51" s="92"/>
      <c r="J51" s="92"/>
      <c r="K51" s="92"/>
      <c r="L51" s="49"/>
      <c r="M51" s="47"/>
    </row>
    <row r="52" spans="3:13">
      <c r="C52" s="60"/>
      <c r="D52" s="92"/>
      <c r="E52" s="92"/>
      <c r="F52" s="92"/>
      <c r="G52" s="92"/>
      <c r="H52" s="92"/>
      <c r="I52" s="92"/>
      <c r="J52" s="92"/>
      <c r="K52" s="92"/>
      <c r="L52" s="12"/>
      <c r="M52" s="47"/>
    </row>
    <row r="53" spans="3:13">
      <c r="C53" s="60"/>
      <c r="D53" s="92"/>
      <c r="E53" s="92"/>
      <c r="F53" s="92"/>
      <c r="G53" s="92"/>
      <c r="H53" s="92"/>
      <c r="I53" s="92"/>
      <c r="J53" s="92"/>
      <c r="K53" s="92"/>
      <c r="L53" s="12"/>
      <c r="M53" s="47"/>
    </row>
    <row r="54" spans="3:13">
      <c r="C54" s="60"/>
      <c r="D54" s="92"/>
      <c r="E54" s="92"/>
      <c r="F54" s="92"/>
      <c r="G54" s="92"/>
      <c r="H54" s="92"/>
      <c r="I54" s="92"/>
      <c r="J54" s="92"/>
      <c r="K54" s="92"/>
      <c r="L54" s="49"/>
      <c r="M54" s="47"/>
    </row>
    <row r="55" spans="3:13">
      <c r="C55" s="60"/>
      <c r="D55" s="92"/>
      <c r="E55" s="92"/>
      <c r="F55" s="92"/>
      <c r="G55" s="92"/>
      <c r="H55" s="92"/>
      <c r="I55" s="92"/>
      <c r="J55" s="92"/>
      <c r="K55" s="92"/>
      <c r="L55" s="12"/>
      <c r="M55" s="47"/>
    </row>
    <row r="56" spans="3:13" ht="14" customHeight="1">
      <c r="C56" s="60"/>
      <c r="D56" s="92"/>
      <c r="E56" s="92"/>
      <c r="F56" s="92"/>
      <c r="G56" s="92"/>
      <c r="H56" s="92"/>
      <c r="I56" s="92"/>
      <c r="J56" s="92"/>
      <c r="K56" s="92"/>
      <c r="L56" s="12"/>
      <c r="M56" s="47"/>
    </row>
    <row r="57" spans="3:13">
      <c r="C57" s="60"/>
      <c r="D57" s="92"/>
      <c r="E57" s="92"/>
      <c r="F57" s="92"/>
      <c r="G57" s="92"/>
      <c r="H57" s="92"/>
      <c r="I57" s="92"/>
      <c r="J57" s="92"/>
      <c r="K57" s="92"/>
      <c r="L57" s="49"/>
      <c r="M57" s="47"/>
    </row>
    <row r="58" spans="3:13" ht="14" customHeight="1">
      <c r="C58" s="60"/>
      <c r="D58" s="92"/>
      <c r="E58" s="92"/>
      <c r="F58" s="92"/>
      <c r="G58" s="92"/>
      <c r="H58" s="92"/>
      <c r="I58" s="92"/>
      <c r="J58" s="92"/>
      <c r="K58" s="92"/>
      <c r="L58" s="12"/>
      <c r="M58" s="47"/>
    </row>
    <row r="59" spans="3:13" ht="12.75" customHeight="1">
      <c r="C59" s="60"/>
      <c r="D59" s="92"/>
      <c r="E59" s="92"/>
      <c r="F59" s="92"/>
      <c r="G59" s="92"/>
      <c r="H59" s="92"/>
      <c r="I59" s="92"/>
      <c r="J59" s="92"/>
      <c r="K59" s="92"/>
      <c r="L59" s="12"/>
      <c r="M59" s="47"/>
    </row>
    <row r="60" spans="3:13">
      <c r="C60" s="60"/>
      <c r="D60" s="92"/>
      <c r="E60" s="92"/>
      <c r="F60" s="92"/>
      <c r="G60" s="92"/>
      <c r="H60" s="92"/>
      <c r="I60" s="92"/>
      <c r="J60" s="92"/>
      <c r="K60" s="92"/>
      <c r="L60" s="49"/>
      <c r="M60" s="47"/>
    </row>
    <row r="61" spans="3:13">
      <c r="C61" s="60"/>
      <c r="D61" s="92"/>
      <c r="E61" s="92"/>
      <c r="F61" s="92"/>
      <c r="G61" s="92"/>
      <c r="H61" s="92"/>
      <c r="I61" s="92"/>
      <c r="J61" s="92"/>
      <c r="K61" s="92"/>
      <c r="L61" s="49"/>
      <c r="M61" s="47"/>
    </row>
    <row r="62" spans="3:13">
      <c r="C62" s="60"/>
      <c r="D62" s="92"/>
      <c r="E62" s="92"/>
      <c r="F62" s="92"/>
      <c r="G62" s="92"/>
      <c r="H62" s="92"/>
      <c r="I62" s="92"/>
      <c r="J62" s="92"/>
      <c r="K62" s="92"/>
      <c r="L62" s="49"/>
      <c r="M62" s="47"/>
    </row>
    <row r="63" spans="3:13">
      <c r="C63" s="60"/>
      <c r="D63" s="92"/>
      <c r="E63" s="92"/>
      <c r="F63" s="92"/>
      <c r="G63" s="92"/>
      <c r="H63" s="92"/>
      <c r="I63" s="92"/>
      <c r="J63" s="92"/>
      <c r="K63" s="92"/>
      <c r="L63" s="49"/>
      <c r="M63" s="47"/>
    </row>
    <row r="64" spans="3:13">
      <c r="C64" s="60"/>
      <c r="D64" s="92"/>
      <c r="E64" s="92"/>
      <c r="F64" s="92"/>
      <c r="G64" s="92"/>
      <c r="H64" s="92"/>
      <c r="I64" s="92"/>
      <c r="J64" s="92"/>
      <c r="K64" s="92"/>
      <c r="L64" s="12"/>
      <c r="M64" s="47"/>
    </row>
    <row r="65" spans="3:19">
      <c r="C65" s="60"/>
      <c r="D65" s="92"/>
      <c r="E65" s="92"/>
      <c r="F65" s="92"/>
      <c r="G65" s="92"/>
      <c r="H65" s="92"/>
      <c r="I65" s="92"/>
      <c r="J65" s="92"/>
      <c r="K65" s="92"/>
      <c r="L65" s="12"/>
      <c r="M65" s="47"/>
    </row>
    <row r="66" spans="3:19" ht="14.25" customHeight="1">
      <c r="C66" s="60"/>
      <c r="D66" s="92"/>
      <c r="E66" s="92"/>
      <c r="F66" s="92"/>
      <c r="G66" s="92"/>
      <c r="H66" s="92"/>
      <c r="I66" s="92"/>
      <c r="J66" s="92"/>
      <c r="K66" s="92"/>
      <c r="L66" s="49"/>
      <c r="M66" s="47"/>
    </row>
    <row r="67" spans="3:19" ht="14" customHeight="1">
      <c r="C67" s="60"/>
      <c r="D67" s="92"/>
      <c r="E67" s="92"/>
      <c r="F67" s="92"/>
      <c r="G67" s="92"/>
      <c r="H67" s="92"/>
      <c r="I67" s="92"/>
      <c r="J67" s="92"/>
      <c r="K67" s="92"/>
      <c r="L67" s="12"/>
      <c r="M67" s="47"/>
    </row>
    <row r="68" spans="3:19">
      <c r="C68" s="93"/>
      <c r="D68" s="92"/>
      <c r="E68" s="92"/>
      <c r="F68" s="92"/>
      <c r="G68" s="92"/>
      <c r="H68" s="92"/>
      <c r="I68" s="92"/>
      <c r="J68" s="92"/>
      <c r="K68" s="92"/>
      <c r="L68" s="12"/>
      <c r="M68" s="47"/>
    </row>
    <row r="69" spans="3:19" ht="13.75" customHeight="1">
      <c r="C69" s="93"/>
      <c r="D69" s="92"/>
      <c r="E69" s="92"/>
      <c r="F69" s="92"/>
      <c r="G69" s="92"/>
      <c r="H69" s="92"/>
      <c r="I69" s="92"/>
      <c r="J69" s="92"/>
      <c r="K69" s="92"/>
      <c r="L69" s="49"/>
      <c r="M69" s="47"/>
    </row>
    <row r="70" spans="3:19">
      <c r="C70" s="93"/>
      <c r="D70" s="92"/>
      <c r="E70" s="92"/>
      <c r="F70" s="92"/>
      <c r="G70" s="92"/>
      <c r="H70" s="92"/>
      <c r="I70" s="92"/>
      <c r="J70" s="92"/>
      <c r="K70" s="92"/>
      <c r="L70" s="12"/>
      <c r="M70" s="18"/>
    </row>
    <row r="71" spans="3:19">
      <c r="C71" s="93"/>
      <c r="D71" s="92"/>
      <c r="E71" s="92"/>
      <c r="F71" s="92"/>
      <c r="G71" s="92"/>
      <c r="H71" s="92"/>
      <c r="I71" s="92"/>
      <c r="J71" s="92"/>
      <c r="K71" s="92"/>
      <c r="L71" s="49"/>
      <c r="M71" s="47"/>
    </row>
    <row r="72" spans="3:19">
      <c r="C72" s="93"/>
      <c r="D72" s="92"/>
      <c r="E72" s="2463"/>
      <c r="F72" s="2463"/>
      <c r="G72" s="2463"/>
      <c r="H72" s="2463"/>
      <c r="I72" s="2463"/>
      <c r="J72" s="2463"/>
      <c r="K72" s="2463"/>
      <c r="L72" s="2463"/>
      <c r="M72" s="2463"/>
      <c r="N72" s="2463"/>
      <c r="O72" s="2463"/>
      <c r="P72" s="2463"/>
      <c r="Q72" s="2464"/>
      <c r="R72" s="2464"/>
      <c r="S72" s="1319"/>
    </row>
    <row r="73" spans="3:19">
      <c r="C73" s="93"/>
      <c r="D73" s="92"/>
      <c r="E73" s="1134"/>
      <c r="F73" s="1134"/>
      <c r="G73" s="1134"/>
      <c r="H73" s="1134"/>
      <c r="I73" s="1134"/>
      <c r="J73" s="1134"/>
      <c r="K73" s="1134"/>
      <c r="L73" s="1134"/>
      <c r="M73" s="1134"/>
      <c r="N73" s="1134"/>
      <c r="O73" s="1134"/>
      <c r="P73" s="1134"/>
      <c r="Q73" s="1134"/>
      <c r="R73" s="1134"/>
      <c r="S73" s="1134"/>
    </row>
    <row r="74" spans="3:19">
      <c r="C74" s="93"/>
      <c r="D74" s="192"/>
      <c r="E74" s="535"/>
      <c r="F74" s="535"/>
      <c r="G74" s="535"/>
      <c r="H74" s="535"/>
      <c r="I74" s="535"/>
      <c r="J74" s="535"/>
      <c r="K74" s="535"/>
      <c r="L74" s="535"/>
      <c r="M74" s="535"/>
      <c r="N74" s="535"/>
      <c r="O74" s="535"/>
      <c r="P74" s="535"/>
      <c r="Q74" s="1135"/>
      <c r="R74" s="1135"/>
      <c r="S74" s="1135"/>
    </row>
    <row r="75" spans="3:19">
      <c r="C75" s="93"/>
      <c r="D75" s="192"/>
      <c r="E75" s="535"/>
      <c r="F75" s="535"/>
      <c r="G75" s="535"/>
      <c r="H75" s="535"/>
      <c r="I75" s="535"/>
      <c r="J75" s="535"/>
      <c r="K75" s="535"/>
      <c r="L75" s="535"/>
      <c r="M75" s="535"/>
      <c r="N75" s="535"/>
      <c r="O75" s="535"/>
      <c r="P75" s="535"/>
      <c r="Q75" s="1135"/>
      <c r="R75" s="1135"/>
      <c r="S75" s="1135"/>
    </row>
    <row r="76" spans="3:19">
      <c r="C76" s="93"/>
      <c r="D76" s="92"/>
      <c r="K76" s="92"/>
      <c r="L76" s="49"/>
      <c r="M76" s="47"/>
    </row>
    <row r="77" spans="3:19">
      <c r="C77" s="93"/>
      <c r="D77" s="92"/>
      <c r="K77" s="92"/>
      <c r="L77" s="49"/>
      <c r="M77" s="47"/>
    </row>
    <row r="78" spans="3:19">
      <c r="C78" s="93"/>
      <c r="D78" s="92"/>
      <c r="E78" s="1136"/>
      <c r="F78" s="1136"/>
      <c r="G78" s="1136"/>
      <c r="H78" s="1136"/>
      <c r="I78" s="1136"/>
      <c r="J78" s="1136"/>
      <c r="K78" s="92"/>
      <c r="L78" s="12"/>
      <c r="M78" s="47"/>
    </row>
    <row r="79" spans="3:19">
      <c r="C79" s="93"/>
      <c r="D79" s="92"/>
      <c r="E79" s="1136"/>
      <c r="F79" s="1136"/>
      <c r="G79" s="1136"/>
      <c r="H79" s="1136"/>
      <c r="I79" s="1136"/>
      <c r="J79" s="1136"/>
      <c r="K79" s="92"/>
      <c r="L79" s="12"/>
      <c r="M79" s="47"/>
    </row>
    <row r="80" spans="3:19">
      <c r="C80" s="93"/>
      <c r="K80" s="92"/>
      <c r="L80" s="49"/>
      <c r="M80" s="47"/>
    </row>
    <row r="81" spans="3:29">
      <c r="C81" s="93"/>
      <c r="D81" s="92"/>
      <c r="E81" s="2460"/>
      <c r="F81" s="2460"/>
      <c r="G81" s="2460"/>
      <c r="H81" s="2460"/>
      <c r="I81" s="2460"/>
      <c r="J81" s="2460"/>
      <c r="K81" s="92"/>
      <c r="L81" s="49"/>
      <c r="M81" s="47"/>
    </row>
    <row r="82" spans="3:29">
      <c r="C82" s="93"/>
      <c r="D82" s="192"/>
      <c r="E82" s="452"/>
      <c r="F82" s="452"/>
      <c r="G82" s="452"/>
      <c r="H82" s="452"/>
      <c r="I82" s="452"/>
      <c r="J82" s="452"/>
      <c r="K82" s="452"/>
      <c r="L82" s="12"/>
      <c r="M82" s="18"/>
    </row>
    <row r="83" spans="3:29">
      <c r="C83" s="93"/>
      <c r="D83" s="192"/>
      <c r="E83" s="452"/>
      <c r="F83" s="452"/>
      <c r="G83" s="452"/>
      <c r="H83" s="452"/>
      <c r="I83" s="452"/>
      <c r="J83" s="452"/>
      <c r="K83" s="452"/>
      <c r="L83" s="49"/>
      <c r="M83" s="47"/>
    </row>
    <row r="84" spans="3:29" ht="14" customHeight="1">
      <c r="C84" s="93"/>
      <c r="D84" s="92"/>
      <c r="E84" s="2462"/>
      <c r="F84" s="2462"/>
      <c r="G84" s="2462"/>
      <c r="H84" s="2462"/>
      <c r="I84" s="2462"/>
      <c r="J84" s="2462"/>
      <c r="K84" s="92"/>
      <c r="L84" s="12"/>
      <c r="M84" s="18"/>
    </row>
    <row r="85" spans="3:29">
      <c r="D85" s="192"/>
      <c r="E85" s="465"/>
      <c r="F85" s="465"/>
      <c r="G85" s="465"/>
      <c r="H85" s="465"/>
      <c r="I85" s="465"/>
      <c r="J85" s="465"/>
      <c r="K85" s="470"/>
    </row>
    <row r="86" spans="3:29">
      <c r="D86" s="192"/>
      <c r="E86" s="465"/>
      <c r="F86" s="465"/>
      <c r="G86" s="465"/>
      <c r="H86" s="465"/>
      <c r="I86" s="465"/>
      <c r="J86" s="465"/>
      <c r="K86" s="470"/>
    </row>
    <row r="87" spans="3:29">
      <c r="E87" s="2462"/>
      <c r="F87" s="2462"/>
      <c r="G87" s="2462"/>
      <c r="H87" s="2462"/>
      <c r="I87" s="2462"/>
      <c r="J87" s="2462"/>
      <c r="K87" s="92"/>
    </row>
    <row r="88" spans="3:29">
      <c r="D88" s="192"/>
      <c r="E88" s="467"/>
      <c r="F88" s="467"/>
      <c r="G88" s="467"/>
      <c r="H88" s="467"/>
      <c r="I88" s="467"/>
      <c r="J88" s="467"/>
      <c r="K88" s="467"/>
    </row>
    <row r="89" spans="3:29">
      <c r="D89" s="192"/>
      <c r="E89" s="467"/>
      <c r="F89" s="467"/>
      <c r="G89" s="467"/>
      <c r="H89" s="467"/>
      <c r="I89" s="467"/>
      <c r="J89" s="467"/>
      <c r="K89" s="467"/>
    </row>
    <row r="95" spans="3:29">
      <c r="C95" s="2480" t="s">
        <v>210</v>
      </c>
      <c r="D95" s="2482" t="s">
        <v>211</v>
      </c>
      <c r="E95" s="2467">
        <v>41774</v>
      </c>
      <c r="F95" s="2468"/>
      <c r="G95" s="2468"/>
      <c r="H95" s="2469"/>
      <c r="I95" s="2467">
        <v>41802</v>
      </c>
      <c r="J95" s="2468"/>
      <c r="K95" s="2468"/>
      <c r="L95" s="2469"/>
      <c r="M95" s="2467">
        <v>41837</v>
      </c>
      <c r="N95" s="2468"/>
      <c r="O95" s="2468"/>
      <c r="P95" s="2469"/>
      <c r="Q95" s="2467">
        <v>41865</v>
      </c>
      <c r="R95" s="2468"/>
      <c r="S95" s="2468"/>
      <c r="T95" s="2468"/>
      <c r="U95" s="2469"/>
      <c r="V95" s="2467">
        <v>41898</v>
      </c>
      <c r="W95" s="2468"/>
      <c r="X95" s="2468"/>
      <c r="Y95" s="2469"/>
      <c r="Z95" s="2467">
        <v>41926</v>
      </c>
      <c r="AA95" s="2468"/>
      <c r="AB95" s="2468"/>
      <c r="AC95" s="2469"/>
    </row>
    <row r="96" spans="3:29" ht="34.5">
      <c r="C96" s="2481"/>
      <c r="D96" s="2483"/>
      <c r="E96" s="674" t="s">
        <v>227</v>
      </c>
      <c r="F96" s="674" t="s">
        <v>1030</v>
      </c>
      <c r="G96" s="674" t="s">
        <v>1031</v>
      </c>
      <c r="H96" s="674" t="s">
        <v>226</v>
      </c>
      <c r="I96" s="674" t="s">
        <v>227</v>
      </c>
      <c r="J96" s="674" t="s">
        <v>1030</v>
      </c>
      <c r="K96" s="674" t="s">
        <v>1031</v>
      </c>
      <c r="L96" s="674" t="s">
        <v>226</v>
      </c>
      <c r="M96" s="674" t="s">
        <v>227</v>
      </c>
      <c r="N96" s="674" t="s">
        <v>1030</v>
      </c>
      <c r="O96" s="674" t="s">
        <v>1031</v>
      </c>
      <c r="P96" s="674" t="s">
        <v>226</v>
      </c>
      <c r="Q96" s="674" t="s">
        <v>227</v>
      </c>
      <c r="R96" s="674" t="s">
        <v>1030</v>
      </c>
      <c r="S96" s="674"/>
      <c r="T96" s="674" t="s">
        <v>1031</v>
      </c>
      <c r="U96" s="674" t="s">
        <v>226</v>
      </c>
      <c r="V96" s="674" t="s">
        <v>227</v>
      </c>
      <c r="W96" s="674" t="s">
        <v>1030</v>
      </c>
      <c r="X96" s="674" t="s">
        <v>1031</v>
      </c>
      <c r="Y96" s="674" t="s">
        <v>226</v>
      </c>
      <c r="Z96" s="674" t="s">
        <v>227</v>
      </c>
      <c r="AA96" s="674" t="s">
        <v>1030</v>
      </c>
      <c r="AB96" s="674" t="s">
        <v>1031</v>
      </c>
      <c r="AC96" s="674" t="s">
        <v>226</v>
      </c>
    </row>
    <row r="97" spans="1:45" ht="23">
      <c r="A97" s="464" t="s">
        <v>222</v>
      </c>
      <c r="B97" s="464"/>
      <c r="C97" s="671" t="s">
        <v>208</v>
      </c>
      <c r="D97" s="672" t="s">
        <v>1029</v>
      </c>
      <c r="E97" s="679">
        <v>521</v>
      </c>
      <c r="F97" s="679">
        <v>442</v>
      </c>
      <c r="G97" s="679">
        <v>21</v>
      </c>
      <c r="H97" s="679">
        <v>17</v>
      </c>
      <c r="I97" s="679">
        <v>241</v>
      </c>
      <c r="J97" s="679">
        <v>146</v>
      </c>
      <c r="K97" s="679">
        <v>16</v>
      </c>
      <c r="L97" s="680">
        <v>12</v>
      </c>
      <c r="M97" s="681">
        <v>781</v>
      </c>
      <c r="N97" s="679">
        <v>361</v>
      </c>
      <c r="O97" s="679">
        <v>137</v>
      </c>
      <c r="P97" s="679">
        <v>510</v>
      </c>
      <c r="Q97" s="679">
        <v>287</v>
      </c>
      <c r="R97" s="679">
        <v>175</v>
      </c>
      <c r="S97" s="679"/>
      <c r="T97" s="679">
        <v>11</v>
      </c>
      <c r="U97" s="679">
        <v>15</v>
      </c>
      <c r="V97" s="679">
        <v>169</v>
      </c>
      <c r="W97" s="679">
        <v>172</v>
      </c>
      <c r="X97" s="679">
        <v>8</v>
      </c>
      <c r="Y97" s="679">
        <v>11</v>
      </c>
      <c r="Z97" s="679">
        <v>353</v>
      </c>
      <c r="AA97" s="679">
        <v>256</v>
      </c>
      <c r="AB97" s="679">
        <v>12</v>
      </c>
      <c r="AC97" s="679">
        <v>14</v>
      </c>
      <c r="AD97" s="464" t="s">
        <v>208</v>
      </c>
    </row>
    <row r="98" spans="1:45">
      <c r="A98" s="464"/>
      <c r="B98" s="464"/>
      <c r="C98" s="671" t="s">
        <v>209</v>
      </c>
      <c r="D98" s="672" t="s">
        <v>223</v>
      </c>
      <c r="E98" s="679">
        <v>751</v>
      </c>
      <c r="F98" s="679">
        <v>569</v>
      </c>
      <c r="G98" s="679">
        <v>18</v>
      </c>
      <c r="H98" s="679">
        <v>19</v>
      </c>
      <c r="I98" s="679">
        <v>330</v>
      </c>
      <c r="J98" s="679">
        <v>202</v>
      </c>
      <c r="K98" s="679">
        <v>18</v>
      </c>
      <c r="L98" s="681">
        <v>16</v>
      </c>
      <c r="M98" s="681">
        <v>914</v>
      </c>
      <c r="N98" s="679">
        <v>384</v>
      </c>
      <c r="O98" s="679">
        <v>154</v>
      </c>
      <c r="P98" s="679">
        <v>377</v>
      </c>
      <c r="Q98" s="679">
        <v>417</v>
      </c>
      <c r="R98" s="679">
        <v>233</v>
      </c>
      <c r="S98" s="679"/>
      <c r="T98" s="679">
        <v>13</v>
      </c>
      <c r="U98" s="679">
        <v>36</v>
      </c>
      <c r="V98" s="679">
        <v>253</v>
      </c>
      <c r="W98" s="679">
        <v>208</v>
      </c>
      <c r="X98" s="679">
        <v>11</v>
      </c>
      <c r="Y98" s="679">
        <v>16</v>
      </c>
      <c r="Z98" s="679">
        <v>490</v>
      </c>
      <c r="AA98" s="679">
        <v>336</v>
      </c>
      <c r="AB98" s="679">
        <v>13</v>
      </c>
      <c r="AC98" s="679">
        <v>21</v>
      </c>
      <c r="AD98" s="464" t="s">
        <v>209</v>
      </c>
    </row>
    <row r="99" spans="1:45">
      <c r="A99" s="464"/>
      <c r="B99" s="464"/>
      <c r="C99" s="671" t="s">
        <v>357</v>
      </c>
      <c r="D99" s="672" t="s">
        <v>359</v>
      </c>
      <c r="E99" s="679">
        <v>992</v>
      </c>
      <c r="F99" s="679">
        <v>470</v>
      </c>
      <c r="G99" s="679">
        <v>44</v>
      </c>
      <c r="H99" s="679">
        <v>189</v>
      </c>
      <c r="I99" s="679">
        <v>1315</v>
      </c>
      <c r="J99" s="679">
        <v>307</v>
      </c>
      <c r="K99" s="679">
        <v>25</v>
      </c>
      <c r="L99" s="680">
        <v>81</v>
      </c>
      <c r="M99" s="681">
        <v>1173</v>
      </c>
      <c r="N99" s="679">
        <v>107</v>
      </c>
      <c r="O99" s="679">
        <v>29</v>
      </c>
      <c r="P99" s="679">
        <v>119</v>
      </c>
      <c r="Q99" s="679">
        <v>538</v>
      </c>
      <c r="R99" s="679">
        <v>219</v>
      </c>
      <c r="S99" s="679"/>
      <c r="T99" s="679">
        <v>15</v>
      </c>
      <c r="U99" s="679">
        <v>49</v>
      </c>
      <c r="V99" s="679">
        <v>677</v>
      </c>
      <c r="W99" s="679">
        <v>167</v>
      </c>
      <c r="X99" s="679">
        <v>9</v>
      </c>
      <c r="Y99" s="679">
        <v>38</v>
      </c>
      <c r="Z99" s="679">
        <v>1004</v>
      </c>
      <c r="AA99" s="679">
        <v>602</v>
      </c>
      <c r="AB99" s="679">
        <v>5</v>
      </c>
      <c r="AC99" s="679">
        <v>28</v>
      </c>
      <c r="AD99" s="464" t="s">
        <v>357</v>
      </c>
    </row>
    <row r="100" spans="1:45">
      <c r="A100" s="464"/>
      <c r="B100" s="464"/>
      <c r="C100" s="671" t="s">
        <v>356</v>
      </c>
      <c r="D100" s="672" t="s">
        <v>358</v>
      </c>
      <c r="E100" s="679">
        <v>1329</v>
      </c>
      <c r="F100" s="679">
        <v>756</v>
      </c>
      <c r="G100" s="679">
        <v>24</v>
      </c>
      <c r="H100" s="679">
        <v>107</v>
      </c>
      <c r="I100" s="679">
        <v>1334</v>
      </c>
      <c r="J100" s="679">
        <v>809</v>
      </c>
      <c r="K100" s="679">
        <v>33</v>
      </c>
      <c r="L100" s="679">
        <v>93</v>
      </c>
      <c r="M100" s="681">
        <v>1345</v>
      </c>
      <c r="N100" s="679">
        <v>615</v>
      </c>
      <c r="O100" s="679">
        <v>80</v>
      </c>
      <c r="P100" s="679">
        <v>202</v>
      </c>
      <c r="Q100" s="679">
        <v>863</v>
      </c>
      <c r="R100" s="679">
        <v>528</v>
      </c>
      <c r="S100" s="679"/>
      <c r="T100" s="679">
        <v>14</v>
      </c>
      <c r="U100" s="679">
        <v>109</v>
      </c>
      <c r="V100" s="679">
        <v>608</v>
      </c>
      <c r="W100" s="679">
        <v>272</v>
      </c>
      <c r="X100" s="679">
        <v>10</v>
      </c>
      <c r="Y100" s="679">
        <v>82</v>
      </c>
      <c r="Z100" s="679">
        <v>1172</v>
      </c>
      <c r="AA100" s="679">
        <v>670</v>
      </c>
      <c r="AB100" s="679">
        <v>15</v>
      </c>
      <c r="AC100" s="679">
        <v>79</v>
      </c>
      <c r="AD100" s="464" t="s">
        <v>356</v>
      </c>
    </row>
    <row r="101" spans="1:45" ht="12.5" customHeight="1"/>
    <row r="102" spans="1:45" s="464" customFormat="1" ht="11.5">
      <c r="C102" s="2470" t="s">
        <v>210</v>
      </c>
      <c r="D102" s="2472" t="s">
        <v>211</v>
      </c>
      <c r="E102" s="2474" t="s">
        <v>102</v>
      </c>
      <c r="F102" s="2475"/>
      <c r="G102" s="2475"/>
      <c r="H102" s="2476"/>
      <c r="I102" s="2477">
        <v>42145</v>
      </c>
      <c r="J102" s="2478"/>
      <c r="K102" s="2478"/>
      <c r="L102" s="2479"/>
      <c r="M102" s="2477">
        <v>42171</v>
      </c>
      <c r="N102" s="2478"/>
      <c r="O102" s="2478"/>
      <c r="P102" s="2479"/>
      <c r="Q102" s="2477">
        <v>42192</v>
      </c>
      <c r="R102" s="2478"/>
      <c r="S102" s="2478"/>
      <c r="T102" s="2478"/>
      <c r="U102" s="2479"/>
      <c r="V102" s="2477">
        <v>42234</v>
      </c>
      <c r="W102" s="2478"/>
      <c r="X102" s="2478"/>
      <c r="Y102" s="2479"/>
      <c r="Z102" s="2477">
        <v>42262</v>
      </c>
      <c r="AA102" s="2478"/>
      <c r="AB102" s="2478"/>
      <c r="AC102" s="2479"/>
      <c r="AD102" s="2477">
        <v>42303</v>
      </c>
      <c r="AE102" s="2478"/>
      <c r="AF102" s="2478"/>
      <c r="AG102" s="2479"/>
    </row>
    <row r="103" spans="1:45" s="464" customFormat="1" ht="34.5">
      <c r="C103" s="2471"/>
      <c r="D103" s="2473"/>
      <c r="E103" s="673" t="s">
        <v>227</v>
      </c>
      <c r="F103" s="673" t="s">
        <v>1030</v>
      </c>
      <c r="G103" s="673" t="s">
        <v>1031</v>
      </c>
      <c r="H103" s="673" t="s">
        <v>226</v>
      </c>
      <c r="I103" s="673" t="s">
        <v>227</v>
      </c>
      <c r="J103" s="673" t="s">
        <v>1030</v>
      </c>
      <c r="K103" s="673" t="s">
        <v>1031</v>
      </c>
      <c r="L103" s="673" t="s">
        <v>226</v>
      </c>
      <c r="M103" s="673" t="s">
        <v>227</v>
      </c>
      <c r="N103" s="673" t="s">
        <v>1030</v>
      </c>
      <c r="O103" s="673" t="s">
        <v>1031</v>
      </c>
      <c r="P103" s="673" t="s">
        <v>226</v>
      </c>
      <c r="Q103" s="673" t="s">
        <v>227</v>
      </c>
      <c r="R103" s="673" t="s">
        <v>1030</v>
      </c>
      <c r="S103" s="673"/>
      <c r="T103" s="673" t="s">
        <v>1031</v>
      </c>
      <c r="U103" s="673" t="s">
        <v>226</v>
      </c>
      <c r="V103" s="673" t="s">
        <v>227</v>
      </c>
      <c r="W103" s="673" t="s">
        <v>1030</v>
      </c>
      <c r="X103" s="673" t="s">
        <v>1031</v>
      </c>
      <c r="Y103" s="673" t="s">
        <v>226</v>
      </c>
      <c r="Z103" s="673" t="s">
        <v>227</v>
      </c>
      <c r="AA103" s="673" t="s">
        <v>1030</v>
      </c>
      <c r="AB103" s="673" t="s">
        <v>1031</v>
      </c>
      <c r="AC103" s="673" t="s">
        <v>226</v>
      </c>
      <c r="AD103" s="673" t="s">
        <v>227</v>
      </c>
      <c r="AE103" s="673" t="s">
        <v>1030</v>
      </c>
      <c r="AF103" s="673" t="s">
        <v>1031</v>
      </c>
      <c r="AG103" s="673" t="s">
        <v>226</v>
      </c>
    </row>
    <row r="104" spans="1:45" ht="28">
      <c r="A104" t="s">
        <v>222</v>
      </c>
      <c r="C104" s="93" t="s">
        <v>208</v>
      </c>
      <c r="D104" s="45" t="s">
        <v>1029</v>
      </c>
      <c r="E104" s="676">
        <v>325</v>
      </c>
      <c r="F104" s="676">
        <v>220.33333333333334</v>
      </c>
      <c r="G104" s="676">
        <v>18.666666666666668</v>
      </c>
      <c r="H104" s="676">
        <v>33.833333333333336</v>
      </c>
      <c r="I104" s="676">
        <v>499</v>
      </c>
      <c r="J104" s="676">
        <v>412</v>
      </c>
      <c r="K104" s="676">
        <v>27</v>
      </c>
      <c r="L104" s="677">
        <v>41</v>
      </c>
      <c r="M104" s="678">
        <v>327</v>
      </c>
      <c r="N104" s="676">
        <v>148</v>
      </c>
      <c r="O104" s="676">
        <v>18</v>
      </c>
      <c r="P104" s="676">
        <v>28</v>
      </c>
      <c r="Q104" s="676">
        <v>219</v>
      </c>
      <c r="R104" s="676">
        <v>110</v>
      </c>
      <c r="S104" s="676"/>
      <c r="T104" s="676">
        <v>14</v>
      </c>
      <c r="U104" s="676">
        <v>29</v>
      </c>
      <c r="V104" s="676">
        <v>235</v>
      </c>
      <c r="W104" s="676">
        <v>148</v>
      </c>
      <c r="X104" s="676">
        <v>18</v>
      </c>
      <c r="Y104" s="676">
        <v>22</v>
      </c>
      <c r="Z104" s="676">
        <v>271</v>
      </c>
      <c r="AA104" s="676">
        <v>127</v>
      </c>
      <c r="AB104" s="676">
        <v>22</v>
      </c>
      <c r="AC104" s="676">
        <v>75</v>
      </c>
      <c r="AD104" s="2">
        <v>399</v>
      </c>
      <c r="AE104" s="2">
        <v>377</v>
      </c>
      <c r="AF104" s="2">
        <v>13</v>
      </c>
      <c r="AG104" s="2">
        <v>8</v>
      </c>
      <c r="AH104" t="s">
        <v>208</v>
      </c>
    </row>
    <row r="105" spans="1:45">
      <c r="C105" s="93" t="s">
        <v>209</v>
      </c>
      <c r="D105" s="45" t="s">
        <v>223</v>
      </c>
      <c r="E105" s="676">
        <v>429.33333333333331</v>
      </c>
      <c r="F105" s="676">
        <v>177.16666666666666</v>
      </c>
      <c r="G105" s="676">
        <v>35.5</v>
      </c>
      <c r="H105" s="676">
        <v>85.833333333333329</v>
      </c>
      <c r="I105" s="676">
        <v>629</v>
      </c>
      <c r="J105" s="676">
        <v>387</v>
      </c>
      <c r="K105" s="676">
        <v>35</v>
      </c>
      <c r="L105" s="678">
        <v>93</v>
      </c>
      <c r="M105" s="678">
        <v>558</v>
      </c>
      <c r="N105" s="676">
        <v>224</v>
      </c>
      <c r="O105" s="676">
        <v>98</v>
      </c>
      <c r="P105" s="676">
        <v>256</v>
      </c>
      <c r="Q105" s="676">
        <v>297</v>
      </c>
      <c r="R105" s="676">
        <v>124</v>
      </c>
      <c r="S105" s="676"/>
      <c r="T105" s="676">
        <v>16</v>
      </c>
      <c r="U105" s="676">
        <v>55</v>
      </c>
      <c r="V105" s="676">
        <v>435</v>
      </c>
      <c r="W105" s="676">
        <v>246</v>
      </c>
      <c r="X105" s="676">
        <v>40</v>
      </c>
      <c r="Y105" s="676">
        <v>78</v>
      </c>
      <c r="Z105" s="676">
        <v>218</v>
      </c>
      <c r="AA105" s="676">
        <v>43</v>
      </c>
      <c r="AB105" s="676">
        <v>11</v>
      </c>
      <c r="AC105" s="676">
        <v>20</v>
      </c>
      <c r="AD105" s="2">
        <v>439</v>
      </c>
      <c r="AE105" s="2">
        <v>39</v>
      </c>
      <c r="AF105" s="2">
        <v>13</v>
      </c>
      <c r="AG105" s="2">
        <v>13</v>
      </c>
      <c r="AH105" t="s">
        <v>209</v>
      </c>
    </row>
    <row r="106" spans="1:45">
      <c r="C106" s="93" t="s">
        <v>357</v>
      </c>
      <c r="D106" s="45" t="s">
        <v>359</v>
      </c>
      <c r="E106" s="676">
        <v>640.33333333333337</v>
      </c>
      <c r="F106" s="676">
        <v>283.33333333333331</v>
      </c>
      <c r="G106" s="676">
        <v>26.166666666666668</v>
      </c>
      <c r="H106" s="676">
        <v>57.666666666666664</v>
      </c>
      <c r="I106" s="676">
        <v>547</v>
      </c>
      <c r="J106" s="676">
        <v>284</v>
      </c>
      <c r="K106" s="676">
        <v>28</v>
      </c>
      <c r="L106" s="677">
        <v>52</v>
      </c>
      <c r="M106" s="678">
        <v>664</v>
      </c>
      <c r="N106" s="676">
        <v>147</v>
      </c>
      <c r="O106" s="676">
        <v>27</v>
      </c>
      <c r="P106" s="676">
        <v>48</v>
      </c>
      <c r="Q106" s="676">
        <v>618</v>
      </c>
      <c r="R106" s="676">
        <v>139</v>
      </c>
      <c r="S106" s="676"/>
      <c r="T106" s="676">
        <v>35</v>
      </c>
      <c r="U106" s="676">
        <v>103</v>
      </c>
      <c r="V106" s="676">
        <v>644</v>
      </c>
      <c r="W106" s="676">
        <v>221</v>
      </c>
      <c r="X106" s="676">
        <v>32</v>
      </c>
      <c r="Y106" s="676">
        <v>72</v>
      </c>
      <c r="Z106" s="676">
        <v>669</v>
      </c>
      <c r="AA106" s="676">
        <v>492</v>
      </c>
      <c r="AB106" s="676">
        <v>16</v>
      </c>
      <c r="AC106" s="676">
        <v>33</v>
      </c>
      <c r="AD106" s="2">
        <v>700</v>
      </c>
      <c r="AE106" s="2">
        <v>417</v>
      </c>
      <c r="AF106" s="2">
        <v>19</v>
      </c>
      <c r="AG106" s="2">
        <v>38</v>
      </c>
      <c r="AH106" t="s">
        <v>357</v>
      </c>
    </row>
    <row r="107" spans="1:45">
      <c r="C107" s="93" t="s">
        <v>1032</v>
      </c>
      <c r="D107" s="45" t="s">
        <v>1033</v>
      </c>
      <c r="E107" s="676">
        <v>1370</v>
      </c>
      <c r="F107" s="676"/>
      <c r="G107" s="676"/>
      <c r="H107" s="676">
        <v>24</v>
      </c>
      <c r="I107" s="676"/>
      <c r="J107" s="676"/>
      <c r="K107" s="676"/>
      <c r="L107" s="676"/>
      <c r="M107" s="678">
        <v>1374</v>
      </c>
      <c r="N107" s="676"/>
      <c r="O107" s="676"/>
      <c r="P107" s="676">
        <v>46</v>
      </c>
      <c r="Q107" s="676"/>
      <c r="R107" s="676"/>
      <c r="S107" s="676"/>
      <c r="T107" s="676"/>
      <c r="U107" s="676"/>
      <c r="V107" s="676"/>
      <c r="W107" s="676"/>
      <c r="X107" s="676"/>
      <c r="Y107" s="676"/>
      <c r="Z107" s="676"/>
      <c r="AA107" s="676"/>
      <c r="AB107" s="676"/>
      <c r="AC107" s="676"/>
      <c r="AD107" s="2">
        <v>1366</v>
      </c>
      <c r="AE107" s="2"/>
      <c r="AF107" s="2"/>
      <c r="AG107" s="2">
        <v>2</v>
      </c>
      <c r="AH107" t="s">
        <v>1032</v>
      </c>
    </row>
    <row r="108" spans="1:45">
      <c r="C108" s="93" t="s">
        <v>1034</v>
      </c>
      <c r="D108" s="45" t="s">
        <v>1035</v>
      </c>
      <c r="E108" s="676">
        <v>1951.5</v>
      </c>
      <c r="F108" s="676"/>
      <c r="G108" s="676"/>
      <c r="H108" s="676">
        <v>80.5</v>
      </c>
      <c r="I108" s="676"/>
      <c r="J108" s="676"/>
      <c r="K108" s="676"/>
      <c r="L108" s="676"/>
      <c r="M108" s="678">
        <v>1654</v>
      </c>
      <c r="N108" s="676"/>
      <c r="O108" s="676"/>
      <c r="P108" s="676">
        <v>75</v>
      </c>
      <c r="Q108" s="676"/>
      <c r="R108" s="676"/>
      <c r="S108" s="676"/>
      <c r="T108" s="676"/>
      <c r="U108" s="676"/>
      <c r="V108" s="676"/>
      <c r="W108" s="676"/>
      <c r="X108" s="676"/>
      <c r="Y108" s="676"/>
      <c r="Z108" s="676"/>
      <c r="AA108" s="676"/>
      <c r="AB108" s="676"/>
      <c r="AC108" s="676"/>
      <c r="AD108" s="2">
        <v>2249</v>
      </c>
      <c r="AE108" s="2"/>
      <c r="AF108" s="2"/>
      <c r="AG108" s="2">
        <v>86</v>
      </c>
      <c r="AH108" t="s">
        <v>1034</v>
      </c>
    </row>
    <row r="109" spans="1:45">
      <c r="C109" s="93" t="s">
        <v>356</v>
      </c>
      <c r="D109" s="45" t="s">
        <v>358</v>
      </c>
      <c r="E109" s="676">
        <v>1439.8333333333333</v>
      </c>
      <c r="F109" s="676">
        <v>825</v>
      </c>
      <c r="G109" s="676">
        <v>209.83333333333334</v>
      </c>
      <c r="H109" s="676">
        <v>125.33333333333333</v>
      </c>
      <c r="I109" s="676">
        <v>1178</v>
      </c>
      <c r="J109" s="676">
        <v>710</v>
      </c>
      <c r="K109" s="676">
        <v>55</v>
      </c>
      <c r="L109" s="677">
        <v>91</v>
      </c>
      <c r="M109" s="678">
        <v>1663</v>
      </c>
      <c r="N109" s="676">
        <v>674</v>
      </c>
      <c r="O109" s="676">
        <v>621</v>
      </c>
      <c r="P109" s="676">
        <v>194</v>
      </c>
      <c r="Q109" s="676">
        <v>1017</v>
      </c>
      <c r="R109" s="676">
        <v>434</v>
      </c>
      <c r="S109" s="676"/>
      <c r="T109" s="676">
        <v>66</v>
      </c>
      <c r="U109" s="676">
        <v>114</v>
      </c>
      <c r="V109" s="676">
        <v>1883</v>
      </c>
      <c r="W109" s="676">
        <v>1167</v>
      </c>
      <c r="X109" s="676">
        <v>181</v>
      </c>
      <c r="Y109" s="676">
        <v>174</v>
      </c>
      <c r="Z109" s="676">
        <v>1121</v>
      </c>
      <c r="AA109" s="676">
        <v>788</v>
      </c>
      <c r="AB109" s="676">
        <v>9</v>
      </c>
      <c r="AC109" s="676">
        <v>97</v>
      </c>
      <c r="AD109" s="2">
        <v>1777</v>
      </c>
      <c r="AE109" s="2">
        <v>1177</v>
      </c>
      <c r="AF109" s="2">
        <v>327</v>
      </c>
      <c r="AG109" s="2">
        <v>82</v>
      </c>
      <c r="AH109" t="s">
        <v>356</v>
      </c>
    </row>
    <row r="111" spans="1:45" ht="14" customHeight="1">
      <c r="A111" s="675"/>
      <c r="B111" s="675"/>
      <c r="C111" s="2470" t="s">
        <v>210</v>
      </c>
      <c r="D111" s="2472" t="s">
        <v>211</v>
      </c>
      <c r="E111" s="2477">
        <v>41361</v>
      </c>
      <c r="F111" s="2478"/>
      <c r="G111" s="2478"/>
      <c r="H111" s="2479"/>
      <c r="I111" s="2477">
        <v>41389</v>
      </c>
      <c r="J111" s="2478"/>
      <c r="K111" s="2478"/>
      <c r="L111" s="2479"/>
      <c r="M111" s="2477">
        <v>41415</v>
      </c>
      <c r="N111" s="2478"/>
      <c r="O111" s="2478"/>
      <c r="P111" s="2479"/>
      <c r="Q111" s="2477">
        <v>41443</v>
      </c>
      <c r="R111" s="2478"/>
      <c r="S111" s="2478"/>
      <c r="T111" s="2478"/>
      <c r="U111" s="2479"/>
      <c r="V111" s="2477">
        <v>41478</v>
      </c>
      <c r="W111" s="2478"/>
      <c r="X111" s="2478"/>
      <c r="Y111" s="2479"/>
      <c r="Z111" s="2477">
        <v>41513</v>
      </c>
      <c r="AA111" s="2478"/>
      <c r="AB111" s="2478"/>
      <c r="AC111" s="2479"/>
      <c r="AD111" s="2477">
        <v>41542</v>
      </c>
      <c r="AE111" s="2478"/>
      <c r="AF111" s="2478"/>
      <c r="AG111" s="2479"/>
      <c r="AH111" s="2477">
        <v>41570</v>
      </c>
      <c r="AI111" s="2478"/>
      <c r="AJ111" s="2478"/>
      <c r="AK111" s="2479"/>
      <c r="AL111" s="2477">
        <v>41603</v>
      </c>
      <c r="AM111" s="2478"/>
      <c r="AN111" s="2478"/>
      <c r="AO111" s="2479"/>
      <c r="AP111" s="2484" t="s">
        <v>102</v>
      </c>
      <c r="AQ111" s="2485"/>
      <c r="AR111" s="2485"/>
      <c r="AS111" s="2485"/>
    </row>
    <row r="112" spans="1:45" ht="34.5">
      <c r="A112" s="675"/>
      <c r="B112" s="675"/>
      <c r="C112" s="2471"/>
      <c r="D112" s="2473"/>
      <c r="E112" s="673" t="s">
        <v>227</v>
      </c>
      <c r="F112" s="673" t="s">
        <v>1030</v>
      </c>
      <c r="G112" s="673" t="s">
        <v>1031</v>
      </c>
      <c r="H112" s="673" t="s">
        <v>226</v>
      </c>
      <c r="I112" s="673" t="s">
        <v>227</v>
      </c>
      <c r="J112" s="673" t="s">
        <v>1030</v>
      </c>
      <c r="K112" s="673" t="s">
        <v>1031</v>
      </c>
      <c r="L112" s="673" t="s">
        <v>226</v>
      </c>
      <c r="M112" s="673" t="s">
        <v>227</v>
      </c>
      <c r="N112" s="673" t="s">
        <v>1030</v>
      </c>
      <c r="O112" s="673" t="s">
        <v>1031</v>
      </c>
      <c r="P112" s="673" t="s">
        <v>226</v>
      </c>
      <c r="Q112" s="673" t="s">
        <v>227</v>
      </c>
      <c r="R112" s="673" t="s">
        <v>1030</v>
      </c>
      <c r="S112" s="673"/>
      <c r="T112" s="673" t="s">
        <v>1031</v>
      </c>
      <c r="U112" s="673" t="s">
        <v>226</v>
      </c>
      <c r="V112" s="673" t="s">
        <v>227</v>
      </c>
      <c r="W112" s="673" t="s">
        <v>1030</v>
      </c>
      <c r="X112" s="673" t="s">
        <v>1031</v>
      </c>
      <c r="Y112" s="673" t="s">
        <v>226</v>
      </c>
      <c r="Z112" s="673" t="s">
        <v>227</v>
      </c>
      <c r="AA112" s="673" t="s">
        <v>1030</v>
      </c>
      <c r="AB112" s="673" t="s">
        <v>1031</v>
      </c>
      <c r="AC112" s="673" t="s">
        <v>226</v>
      </c>
      <c r="AD112" s="673" t="s">
        <v>227</v>
      </c>
      <c r="AE112" s="673" t="s">
        <v>1030</v>
      </c>
      <c r="AF112" s="673" t="s">
        <v>1031</v>
      </c>
      <c r="AG112" s="673" t="s">
        <v>226</v>
      </c>
      <c r="AH112" s="673" t="s">
        <v>227</v>
      </c>
      <c r="AI112" s="673" t="s">
        <v>1030</v>
      </c>
      <c r="AJ112" s="673" t="s">
        <v>1031</v>
      </c>
      <c r="AK112" s="673" t="s">
        <v>226</v>
      </c>
      <c r="AL112" s="673" t="s">
        <v>227</v>
      </c>
      <c r="AM112" s="673" t="s">
        <v>1030</v>
      </c>
      <c r="AN112" s="673" t="s">
        <v>1031</v>
      </c>
      <c r="AO112" s="673" t="s">
        <v>226</v>
      </c>
      <c r="AP112" s="673" t="s">
        <v>227</v>
      </c>
      <c r="AQ112" s="673" t="s">
        <v>1030</v>
      </c>
      <c r="AR112" s="673" t="s">
        <v>1031</v>
      </c>
      <c r="AS112" s="673" t="s">
        <v>226</v>
      </c>
    </row>
    <row r="113" spans="1:45" ht="28">
      <c r="A113" t="s">
        <v>222</v>
      </c>
      <c r="C113" t="s">
        <v>208</v>
      </c>
      <c r="D113" s="78" t="s">
        <v>1029</v>
      </c>
      <c r="Q113">
        <v>265</v>
      </c>
      <c r="R113">
        <v>76</v>
      </c>
      <c r="T113">
        <v>27</v>
      </c>
      <c r="U113">
        <v>58</v>
      </c>
      <c r="V113">
        <v>414</v>
      </c>
      <c r="W113">
        <v>236</v>
      </c>
      <c r="X113">
        <v>15</v>
      </c>
      <c r="Y113">
        <v>15</v>
      </c>
      <c r="Z113">
        <v>826</v>
      </c>
      <c r="AA113">
        <v>339</v>
      </c>
      <c r="AB113">
        <v>47</v>
      </c>
      <c r="AC113">
        <v>27</v>
      </c>
      <c r="AD113">
        <v>385</v>
      </c>
      <c r="AE113">
        <v>221</v>
      </c>
      <c r="AF113">
        <v>12</v>
      </c>
      <c r="AG113">
        <v>26</v>
      </c>
      <c r="AH113">
        <v>348</v>
      </c>
      <c r="AI113">
        <v>208</v>
      </c>
      <c r="AJ113">
        <v>8</v>
      </c>
      <c r="AK113">
        <v>11</v>
      </c>
      <c r="AL113">
        <v>255</v>
      </c>
      <c r="AM113">
        <v>251</v>
      </c>
      <c r="AN113">
        <v>56</v>
      </c>
      <c r="AO113">
        <v>11</v>
      </c>
      <c r="AP113">
        <v>415.5</v>
      </c>
      <c r="AQ113">
        <v>221.83333333333334</v>
      </c>
      <c r="AR113">
        <v>27.5</v>
      </c>
      <c r="AS113">
        <v>24.666666666666668</v>
      </c>
    </row>
    <row r="114" spans="1:45">
      <c r="C114" t="s">
        <v>209</v>
      </c>
      <c r="D114" s="78" t="s">
        <v>223</v>
      </c>
      <c r="Q114">
        <v>133</v>
      </c>
      <c r="R114">
        <v>97</v>
      </c>
      <c r="T114">
        <v>27</v>
      </c>
      <c r="U114">
        <v>12</v>
      </c>
      <c r="V114">
        <v>758</v>
      </c>
      <c r="W114">
        <v>309</v>
      </c>
      <c r="X114">
        <v>21</v>
      </c>
      <c r="Y114">
        <v>36</v>
      </c>
      <c r="Z114">
        <v>672</v>
      </c>
      <c r="AA114">
        <v>244</v>
      </c>
      <c r="AB114">
        <v>48</v>
      </c>
      <c r="AC114">
        <v>35</v>
      </c>
      <c r="AD114">
        <v>615</v>
      </c>
      <c r="AE114">
        <v>375</v>
      </c>
      <c r="AF114">
        <v>21</v>
      </c>
      <c r="AG114">
        <v>48</v>
      </c>
      <c r="AH114">
        <v>400</v>
      </c>
      <c r="AI114">
        <v>213</v>
      </c>
      <c r="AJ114">
        <v>14</v>
      </c>
      <c r="AK114">
        <v>5</v>
      </c>
      <c r="AL114">
        <v>268</v>
      </c>
      <c r="AM114">
        <v>143</v>
      </c>
      <c r="AN114">
        <v>36</v>
      </c>
      <c r="AO114">
        <v>11</v>
      </c>
      <c r="AP114">
        <v>474.33333333333331</v>
      </c>
      <c r="AQ114">
        <v>230.16666666666666</v>
      </c>
      <c r="AR114">
        <v>27.833333333333332</v>
      </c>
      <c r="AS114">
        <v>24.5</v>
      </c>
    </row>
    <row r="115" spans="1:45">
      <c r="C115" t="s">
        <v>357</v>
      </c>
      <c r="D115" s="78" t="s">
        <v>359</v>
      </c>
      <c r="E115" s="78">
        <v>713</v>
      </c>
      <c r="F115" s="78">
        <v>480</v>
      </c>
      <c r="G115" s="78">
        <v>70</v>
      </c>
      <c r="H115" s="78">
        <v>66</v>
      </c>
      <c r="I115" s="78">
        <v>619</v>
      </c>
      <c r="J115" s="78">
        <v>327</v>
      </c>
      <c r="K115">
        <v>24</v>
      </c>
      <c r="L115">
        <v>46</v>
      </c>
      <c r="M115">
        <v>679</v>
      </c>
      <c r="N115">
        <v>507</v>
      </c>
      <c r="O115">
        <v>30</v>
      </c>
      <c r="P115">
        <v>61</v>
      </c>
      <c r="Q115">
        <v>724</v>
      </c>
      <c r="R115">
        <v>394</v>
      </c>
      <c r="T115">
        <v>37</v>
      </c>
      <c r="U115">
        <v>78</v>
      </c>
      <c r="V115">
        <v>774</v>
      </c>
      <c r="W115">
        <v>349</v>
      </c>
      <c r="X115">
        <v>17</v>
      </c>
      <c r="Y115">
        <v>102</v>
      </c>
      <c r="Z115">
        <v>747</v>
      </c>
      <c r="AA115">
        <v>78</v>
      </c>
      <c r="AB115">
        <v>43</v>
      </c>
      <c r="AC115">
        <v>36</v>
      </c>
      <c r="AD115">
        <v>902</v>
      </c>
      <c r="AE115">
        <v>175</v>
      </c>
      <c r="AF115">
        <v>11</v>
      </c>
      <c r="AG115">
        <v>86</v>
      </c>
      <c r="AH115">
        <v>639</v>
      </c>
      <c r="AI115">
        <v>319</v>
      </c>
      <c r="AJ115">
        <v>15</v>
      </c>
      <c r="AK115">
        <v>66</v>
      </c>
      <c r="AL115">
        <v>694</v>
      </c>
      <c r="AM115">
        <v>380</v>
      </c>
      <c r="AN115">
        <v>55</v>
      </c>
      <c r="AO115">
        <v>44</v>
      </c>
      <c r="AP115">
        <v>721.22222222222217</v>
      </c>
      <c r="AQ115">
        <v>334.33333333333331</v>
      </c>
      <c r="AR115">
        <v>33.555555555555557</v>
      </c>
      <c r="AS115">
        <v>65</v>
      </c>
    </row>
    <row r="116" spans="1:45">
      <c r="C116" t="s">
        <v>356</v>
      </c>
      <c r="D116" s="78" t="s">
        <v>358</v>
      </c>
      <c r="E116" s="78">
        <v>973</v>
      </c>
      <c r="F116" s="78">
        <v>604</v>
      </c>
      <c r="G116" s="78">
        <v>36</v>
      </c>
      <c r="H116" s="78">
        <v>111</v>
      </c>
      <c r="I116" s="78">
        <v>1137</v>
      </c>
      <c r="J116" s="78">
        <v>474</v>
      </c>
      <c r="K116">
        <v>20</v>
      </c>
      <c r="L116">
        <v>166</v>
      </c>
      <c r="M116">
        <v>1328</v>
      </c>
      <c r="N116">
        <v>602</v>
      </c>
      <c r="O116">
        <v>80</v>
      </c>
      <c r="P116">
        <v>147</v>
      </c>
      <c r="Q116">
        <v>674</v>
      </c>
      <c r="R116">
        <v>282</v>
      </c>
      <c r="T116">
        <v>50</v>
      </c>
      <c r="U116">
        <v>128</v>
      </c>
      <c r="V116">
        <v>807</v>
      </c>
      <c r="W116">
        <v>267</v>
      </c>
      <c r="X116">
        <v>37</v>
      </c>
      <c r="Y116">
        <v>238</v>
      </c>
      <c r="Z116">
        <v>2026</v>
      </c>
      <c r="AA116">
        <v>1116</v>
      </c>
      <c r="AB116">
        <v>49</v>
      </c>
      <c r="AC116">
        <v>556</v>
      </c>
      <c r="AD116">
        <v>1635</v>
      </c>
      <c r="AE116">
        <v>632</v>
      </c>
      <c r="AF116">
        <v>44</v>
      </c>
      <c r="AG116">
        <v>137</v>
      </c>
      <c r="AH116">
        <v>2147</v>
      </c>
      <c r="AI116">
        <v>1325</v>
      </c>
      <c r="AJ116">
        <v>222</v>
      </c>
      <c r="AK116">
        <v>192</v>
      </c>
      <c r="AL116">
        <v>1670</v>
      </c>
      <c r="AM116">
        <v>1081</v>
      </c>
      <c r="AN116">
        <v>52</v>
      </c>
      <c r="AO116">
        <v>158</v>
      </c>
      <c r="AP116">
        <v>1377.4444444444443</v>
      </c>
      <c r="AQ116">
        <v>709.22222222222217</v>
      </c>
      <c r="AR116">
        <v>65.555555555555557</v>
      </c>
      <c r="AS116">
        <v>203.66666666666666</v>
      </c>
    </row>
    <row r="119" spans="1:45">
      <c r="A119" s="2486" t="s">
        <v>232</v>
      </c>
      <c r="B119" s="783"/>
      <c r="C119" s="2470" t="s">
        <v>210</v>
      </c>
      <c r="D119" s="2472" t="s">
        <v>211</v>
      </c>
      <c r="E119" s="2386" t="s">
        <v>89</v>
      </c>
      <c r="F119" s="2461" t="s">
        <v>68</v>
      </c>
      <c r="G119" s="2461"/>
      <c r="H119" s="2461" t="s">
        <v>262</v>
      </c>
      <c r="I119" s="2461"/>
      <c r="J119" s="2461" t="s">
        <v>256</v>
      </c>
      <c r="K119" s="2461"/>
      <c r="L119" s="2386" t="s">
        <v>71</v>
      </c>
      <c r="M119" s="2386"/>
      <c r="N119" s="2386" t="s">
        <v>72</v>
      </c>
      <c r="O119" s="2386"/>
      <c r="P119" s="2386" t="s">
        <v>73</v>
      </c>
      <c r="Q119" s="2386"/>
      <c r="R119" s="2386" t="s">
        <v>74</v>
      </c>
      <c r="S119" s="2386"/>
      <c r="T119" s="2386"/>
      <c r="U119" s="2386" t="s">
        <v>102</v>
      </c>
      <c r="V119" s="2386"/>
      <c r="W119" s="2386" t="s">
        <v>1036</v>
      </c>
      <c r="X119" s="2386"/>
    </row>
    <row r="120" spans="1:45" ht="34.5">
      <c r="A120" s="2486"/>
      <c r="B120" s="783"/>
      <c r="C120" s="2488"/>
      <c r="D120" s="2487"/>
      <c r="E120" s="2386"/>
      <c r="F120" s="685" t="s">
        <v>227</v>
      </c>
      <c r="G120" s="685" t="s">
        <v>226</v>
      </c>
      <c r="H120" s="685" t="s">
        <v>227</v>
      </c>
      <c r="I120" s="685" t="s">
        <v>226</v>
      </c>
      <c r="J120" s="685" t="s">
        <v>227</v>
      </c>
      <c r="K120" s="685" t="s">
        <v>226</v>
      </c>
      <c r="L120" s="685" t="s">
        <v>227</v>
      </c>
      <c r="M120" s="685" t="s">
        <v>226</v>
      </c>
      <c r="N120" s="685" t="s">
        <v>227</v>
      </c>
      <c r="O120" s="685" t="s">
        <v>226</v>
      </c>
      <c r="P120" s="685" t="s">
        <v>227</v>
      </c>
      <c r="Q120" s="685" t="s">
        <v>226</v>
      </c>
      <c r="R120" s="685" t="s">
        <v>227</v>
      </c>
      <c r="S120" s="685"/>
      <c r="T120" s="685" t="s">
        <v>226</v>
      </c>
      <c r="U120" s="685" t="s">
        <v>227</v>
      </c>
      <c r="V120" s="685" t="s">
        <v>226</v>
      </c>
      <c r="W120" s="685" t="s">
        <v>227</v>
      </c>
      <c r="X120" s="685" t="s">
        <v>226</v>
      </c>
    </row>
    <row r="121" spans="1:45">
      <c r="A121" s="2418" t="s">
        <v>222</v>
      </c>
      <c r="B121" s="358"/>
      <c r="C121" s="2418" t="s">
        <v>208</v>
      </c>
      <c r="D121" s="2418" t="s">
        <v>1029</v>
      </c>
      <c r="E121" s="682">
        <v>2013</v>
      </c>
      <c r="F121" s="358"/>
      <c r="G121" s="358"/>
      <c r="H121" s="358">
        <v>265</v>
      </c>
      <c r="I121" s="358">
        <v>58</v>
      </c>
      <c r="J121" s="358">
        <v>414</v>
      </c>
      <c r="K121" s="358">
        <v>15</v>
      </c>
      <c r="L121" s="358">
        <v>826</v>
      </c>
      <c r="M121" s="358">
        <v>27</v>
      </c>
      <c r="N121" s="358">
        <v>385</v>
      </c>
      <c r="O121" s="358">
        <v>26</v>
      </c>
      <c r="P121" s="358">
        <v>348</v>
      </c>
      <c r="Q121" s="358">
        <v>11</v>
      </c>
      <c r="R121" s="358">
        <v>255</v>
      </c>
      <c r="S121" s="358"/>
      <c r="T121" s="358">
        <v>11</v>
      </c>
      <c r="U121" s="31">
        <f>AVERAGE(F121,H121,J121,L121,N121,P121,R121)</f>
        <v>415.5</v>
      </c>
      <c r="V121" s="31">
        <f>AVERAGE(G121,I121,K121,M121,O121,Q121,T121)</f>
        <v>24.666666666666668</v>
      </c>
      <c r="W121" s="31">
        <f>AVERAGE(U121:U124)</f>
        <v>478.29166666666663</v>
      </c>
      <c r="X121" s="31">
        <f>AVERAGE(V121:V124)</f>
        <v>52.875</v>
      </c>
    </row>
    <row r="122" spans="1:45">
      <c r="A122" s="2418"/>
      <c r="B122" s="358"/>
      <c r="C122" s="2418"/>
      <c r="D122" s="2418"/>
      <c r="E122" s="682">
        <v>2014</v>
      </c>
      <c r="F122" s="358">
        <v>521</v>
      </c>
      <c r="G122" s="358">
        <v>17</v>
      </c>
      <c r="H122" s="358">
        <v>241</v>
      </c>
      <c r="I122" s="358">
        <v>12</v>
      </c>
      <c r="J122" s="358">
        <v>781</v>
      </c>
      <c r="K122" s="358">
        <v>510</v>
      </c>
      <c r="L122" s="358">
        <v>287</v>
      </c>
      <c r="M122" s="358">
        <v>11</v>
      </c>
      <c r="N122" s="358">
        <v>169</v>
      </c>
      <c r="O122" s="358">
        <v>11</v>
      </c>
      <c r="P122" s="358">
        <v>353</v>
      </c>
      <c r="Q122" s="358">
        <v>14</v>
      </c>
      <c r="R122" s="358"/>
      <c r="S122" s="358"/>
      <c r="T122" s="358"/>
      <c r="U122" s="31">
        <f t="shared" ref="U122:U128" si="2">AVERAGE(F122,H122,J122,L122,N122,P122,R122)</f>
        <v>392</v>
      </c>
      <c r="V122" s="31">
        <f t="shared" ref="V122:V128" si="3">AVERAGE(G122,I122,K122,M122,O122,Q122,T122)</f>
        <v>95.833333333333329</v>
      </c>
    </row>
    <row r="123" spans="1:45">
      <c r="A123" s="2418"/>
      <c r="B123" s="358"/>
      <c r="C123" s="2418"/>
      <c r="D123" s="2418"/>
      <c r="E123" s="682">
        <v>2015</v>
      </c>
      <c r="F123" s="684">
        <v>499</v>
      </c>
      <c r="G123" s="358">
        <v>41</v>
      </c>
      <c r="H123" s="358">
        <v>327</v>
      </c>
      <c r="I123" s="358">
        <v>28</v>
      </c>
      <c r="J123" s="358">
        <v>219</v>
      </c>
      <c r="K123" s="358">
        <v>29</v>
      </c>
      <c r="L123" s="358">
        <v>235</v>
      </c>
      <c r="M123" s="358">
        <v>22</v>
      </c>
      <c r="N123" s="358">
        <v>271</v>
      </c>
      <c r="O123" s="358">
        <v>75</v>
      </c>
      <c r="P123" s="358">
        <v>339</v>
      </c>
      <c r="Q123" s="358">
        <v>8</v>
      </c>
      <c r="R123" s="358"/>
      <c r="S123" s="358"/>
      <c r="T123" s="358"/>
      <c r="U123" s="31">
        <f t="shared" si="2"/>
        <v>315</v>
      </c>
      <c r="V123" s="31">
        <f t="shared" si="3"/>
        <v>33.833333333333336</v>
      </c>
    </row>
    <row r="124" spans="1:45">
      <c r="A124" s="2418"/>
      <c r="B124" s="358"/>
      <c r="C124" s="2418"/>
      <c r="D124" s="2418"/>
      <c r="E124" s="682">
        <v>2016</v>
      </c>
      <c r="F124" s="683">
        <v>473</v>
      </c>
      <c r="G124" s="683">
        <v>113</v>
      </c>
      <c r="H124" s="683">
        <v>266</v>
      </c>
      <c r="I124" s="683">
        <v>15</v>
      </c>
      <c r="J124" s="683">
        <v>757</v>
      </c>
      <c r="K124" s="683">
        <v>28</v>
      </c>
      <c r="L124" s="683">
        <v>976</v>
      </c>
      <c r="M124" s="683">
        <v>26</v>
      </c>
      <c r="N124" s="683">
        <v>976</v>
      </c>
      <c r="O124" s="683">
        <v>28</v>
      </c>
      <c r="P124" s="683">
        <v>1296</v>
      </c>
      <c r="Q124" s="683">
        <v>133</v>
      </c>
      <c r="R124" s="358"/>
      <c r="S124" s="358"/>
      <c r="T124" s="358"/>
      <c r="U124" s="31">
        <f t="shared" si="2"/>
        <v>790.66666666666663</v>
      </c>
      <c r="V124" s="31">
        <f t="shared" si="3"/>
        <v>57.166666666666664</v>
      </c>
    </row>
    <row r="125" spans="1:45">
      <c r="A125" s="2418"/>
      <c r="B125" s="358"/>
      <c r="C125" s="2418" t="s">
        <v>209</v>
      </c>
      <c r="D125" s="2418" t="s">
        <v>223</v>
      </c>
      <c r="E125" s="682">
        <v>2013</v>
      </c>
      <c r="F125" s="358"/>
      <c r="G125" s="358"/>
      <c r="H125" s="358">
        <v>133</v>
      </c>
      <c r="I125" s="358">
        <v>12</v>
      </c>
      <c r="J125" s="358">
        <v>758</v>
      </c>
      <c r="K125" s="358">
        <v>36</v>
      </c>
      <c r="L125" s="358">
        <v>672</v>
      </c>
      <c r="M125" s="358">
        <v>35</v>
      </c>
      <c r="N125" s="358">
        <v>375</v>
      </c>
      <c r="O125" s="358">
        <v>48</v>
      </c>
      <c r="P125" s="358">
        <v>400</v>
      </c>
      <c r="Q125" s="358">
        <v>66</v>
      </c>
      <c r="R125" s="358">
        <v>694</v>
      </c>
      <c r="S125" s="358"/>
      <c r="T125" s="358">
        <v>44</v>
      </c>
      <c r="U125" s="31">
        <f t="shared" si="2"/>
        <v>505.33333333333331</v>
      </c>
      <c r="V125" s="31">
        <f t="shared" si="3"/>
        <v>40.166666666666664</v>
      </c>
      <c r="W125" s="31">
        <f>AVERAGE(U125:U128)</f>
        <v>437.45833333333331</v>
      </c>
      <c r="X125" s="31">
        <f>AVERAGE(V125:V128)</f>
        <v>61.583333333333336</v>
      </c>
    </row>
    <row r="126" spans="1:45">
      <c r="A126" s="2418"/>
      <c r="B126" s="358"/>
      <c r="C126" s="2418"/>
      <c r="D126" s="2418"/>
      <c r="E126" s="682">
        <v>2014</v>
      </c>
      <c r="F126" s="358">
        <v>751</v>
      </c>
      <c r="G126" s="358">
        <v>19</v>
      </c>
      <c r="H126" s="358">
        <v>330</v>
      </c>
      <c r="I126" s="358">
        <v>16</v>
      </c>
      <c r="J126" s="358">
        <v>914</v>
      </c>
      <c r="K126" s="358">
        <v>377</v>
      </c>
      <c r="L126" s="358">
        <v>214</v>
      </c>
      <c r="M126" s="358">
        <v>13</v>
      </c>
      <c r="N126" s="358">
        <v>253</v>
      </c>
      <c r="O126" s="358">
        <v>16</v>
      </c>
      <c r="P126" s="358">
        <v>490</v>
      </c>
      <c r="Q126" s="358">
        <v>21</v>
      </c>
      <c r="R126" s="358"/>
      <c r="S126" s="358"/>
      <c r="T126" s="358"/>
      <c r="U126" s="31">
        <f t="shared" si="2"/>
        <v>492</v>
      </c>
      <c r="V126" s="31">
        <f t="shared" si="3"/>
        <v>77</v>
      </c>
    </row>
    <row r="127" spans="1:45">
      <c r="A127" s="2418"/>
      <c r="B127" s="358"/>
      <c r="C127" s="2418"/>
      <c r="D127" s="2418"/>
      <c r="E127" s="682">
        <v>2015</v>
      </c>
      <c r="F127" s="358">
        <v>629</v>
      </c>
      <c r="G127" s="358">
        <v>93</v>
      </c>
      <c r="H127" s="358">
        <v>558</v>
      </c>
      <c r="I127" s="358">
        <v>256</v>
      </c>
      <c r="J127" s="358">
        <v>297</v>
      </c>
      <c r="K127" s="358">
        <v>55</v>
      </c>
      <c r="L127" s="358">
        <v>435</v>
      </c>
      <c r="M127" s="358">
        <v>78</v>
      </c>
      <c r="N127" s="358">
        <v>218</v>
      </c>
      <c r="O127" s="358">
        <v>20</v>
      </c>
      <c r="P127" s="358">
        <v>439</v>
      </c>
      <c r="Q127" s="358">
        <v>13</v>
      </c>
      <c r="R127" s="358"/>
      <c r="S127" s="358"/>
      <c r="T127" s="358"/>
      <c r="U127" s="31">
        <f t="shared" si="2"/>
        <v>429.33333333333331</v>
      </c>
      <c r="V127" s="31">
        <f t="shared" si="3"/>
        <v>85.833333333333329</v>
      </c>
    </row>
    <row r="128" spans="1:45">
      <c r="A128" s="2418"/>
      <c r="B128" s="358"/>
      <c r="C128" s="2418"/>
      <c r="D128" s="2418"/>
      <c r="E128" s="682">
        <v>2016</v>
      </c>
      <c r="F128" s="683">
        <v>644</v>
      </c>
      <c r="G128" s="683">
        <v>65</v>
      </c>
      <c r="H128" s="683">
        <v>278</v>
      </c>
      <c r="I128" s="683">
        <v>34</v>
      </c>
      <c r="J128" s="683">
        <v>460</v>
      </c>
      <c r="K128" s="683">
        <v>22</v>
      </c>
      <c r="L128" s="683">
        <v>251</v>
      </c>
      <c r="M128" s="683">
        <v>54</v>
      </c>
      <c r="N128" s="683">
        <v>171</v>
      </c>
      <c r="O128" s="683">
        <v>35</v>
      </c>
      <c r="P128" s="683">
        <v>135</v>
      </c>
      <c r="Q128" s="683">
        <v>50</v>
      </c>
      <c r="R128" s="358"/>
      <c r="S128" s="358"/>
      <c r="T128" s="358"/>
      <c r="U128" s="31">
        <f t="shared" si="2"/>
        <v>323.16666666666669</v>
      </c>
      <c r="V128" s="31">
        <f t="shared" si="3"/>
        <v>43.333333333333336</v>
      </c>
    </row>
    <row r="130" spans="4:13" ht="56">
      <c r="F130" s="2461" t="s">
        <v>1037</v>
      </c>
      <c r="G130" s="2461"/>
      <c r="H130" s="2461"/>
      <c r="I130" s="2461"/>
      <c r="J130" s="2461"/>
      <c r="K130" s="2461"/>
      <c r="L130" s="2461"/>
      <c r="M130" s="279" t="s">
        <v>1043</v>
      </c>
    </row>
    <row r="131" spans="4:13">
      <c r="D131" s="686" t="s">
        <v>211</v>
      </c>
      <c r="E131" s="701" t="s">
        <v>89</v>
      </c>
      <c r="F131" s="700" t="s">
        <v>68</v>
      </c>
      <c r="G131" s="700" t="s">
        <v>69</v>
      </c>
      <c r="H131" s="700" t="s">
        <v>70</v>
      </c>
      <c r="I131" s="700" t="s">
        <v>71</v>
      </c>
      <c r="J131" s="700" t="s">
        <v>72</v>
      </c>
      <c r="K131" s="700" t="s">
        <v>73</v>
      </c>
      <c r="L131" s="700" t="s">
        <v>74</v>
      </c>
      <c r="M131" s="703" t="s">
        <v>155</v>
      </c>
    </row>
    <row r="132" spans="4:13">
      <c r="D132" s="2418" t="s">
        <v>1029</v>
      </c>
      <c r="E132" s="682">
        <v>2013</v>
      </c>
      <c r="G132" s="702">
        <v>0.38500000000000001</v>
      </c>
      <c r="H132" s="702">
        <v>0.24</v>
      </c>
      <c r="I132" s="702">
        <v>0.31</v>
      </c>
      <c r="J132" s="702">
        <v>10.07</v>
      </c>
      <c r="K132" s="702">
        <v>1.57</v>
      </c>
      <c r="L132" s="702">
        <v>0.45</v>
      </c>
      <c r="M132" s="356">
        <f>AVERAGE(F132:L132)</f>
        <v>2.1708333333333334</v>
      </c>
    </row>
    <row r="133" spans="4:13">
      <c r="D133" s="2418"/>
      <c r="E133" s="682">
        <v>2014</v>
      </c>
      <c r="F133" s="693">
        <v>2.7</v>
      </c>
      <c r="G133" s="693">
        <v>3</v>
      </c>
      <c r="H133" s="693">
        <v>9.6</v>
      </c>
      <c r="I133" s="693">
        <v>2.7</v>
      </c>
      <c r="J133" s="693">
        <v>3</v>
      </c>
      <c r="K133" s="693">
        <v>3.4</v>
      </c>
      <c r="M133" s="356">
        <f t="shared" ref="M133:M139" si="4">AVERAGE(F133:L133)</f>
        <v>4.0666666666666664</v>
      </c>
    </row>
    <row r="134" spans="4:13">
      <c r="D134" s="2418"/>
      <c r="E134" s="682">
        <v>2015</v>
      </c>
      <c r="F134" s="694">
        <v>12.2</v>
      </c>
      <c r="G134" s="694">
        <v>4.9000000000000004</v>
      </c>
      <c r="H134" s="694">
        <v>2.9</v>
      </c>
      <c r="I134" s="694">
        <v>1.2</v>
      </c>
      <c r="J134" s="694">
        <v>0.2</v>
      </c>
      <c r="K134" s="694">
        <v>1.6</v>
      </c>
      <c r="M134" s="356">
        <f t="shared" si="4"/>
        <v>3.8333333333333335</v>
      </c>
    </row>
    <row r="135" spans="4:13">
      <c r="D135" s="2418"/>
      <c r="E135" s="682">
        <v>2016</v>
      </c>
      <c r="F135" s="694">
        <v>9.42</v>
      </c>
      <c r="G135" s="694">
        <v>1.54</v>
      </c>
      <c r="H135" s="694">
        <v>0.15</v>
      </c>
      <c r="I135" s="694">
        <v>0.11</v>
      </c>
      <c r="J135" s="694">
        <v>0.1</v>
      </c>
      <c r="K135" s="695">
        <v>0.04</v>
      </c>
      <c r="M135" s="356">
        <f t="shared" si="4"/>
        <v>1.8933333333333333</v>
      </c>
    </row>
    <row r="136" spans="4:13">
      <c r="D136" s="2418" t="s">
        <v>223</v>
      </c>
      <c r="E136" s="682">
        <v>2013</v>
      </c>
      <c r="G136" s="693">
        <v>3.35</v>
      </c>
      <c r="H136" s="693">
        <v>0.46200000000000002</v>
      </c>
      <c r="I136" s="693">
        <v>2.97</v>
      </c>
      <c r="J136" s="693">
        <v>35.409999999999997</v>
      </c>
      <c r="K136" s="693">
        <v>3.58</v>
      </c>
      <c r="L136" s="693">
        <v>2.4700000000000002</v>
      </c>
      <c r="M136" s="356">
        <f t="shared" si="4"/>
        <v>8.0403333333333311</v>
      </c>
    </row>
    <row r="137" spans="4:13">
      <c r="D137" s="2418"/>
      <c r="E137" s="682">
        <v>2014</v>
      </c>
      <c r="F137" s="693">
        <v>10.3</v>
      </c>
      <c r="G137" s="693">
        <v>3</v>
      </c>
      <c r="H137" s="693">
        <v>46.7</v>
      </c>
      <c r="I137" s="693">
        <v>11.8</v>
      </c>
      <c r="J137" s="693">
        <v>2.8</v>
      </c>
      <c r="K137" s="693">
        <v>4.9000000000000004</v>
      </c>
      <c r="M137" s="356">
        <f t="shared" si="4"/>
        <v>13.25</v>
      </c>
    </row>
    <row r="138" spans="4:13">
      <c r="D138" s="2418"/>
      <c r="E138" s="682">
        <v>2015</v>
      </c>
      <c r="F138" s="694">
        <v>21.6</v>
      </c>
      <c r="G138" s="694">
        <v>29.7</v>
      </c>
      <c r="H138" s="694">
        <v>11.1</v>
      </c>
      <c r="I138" s="694">
        <v>14.6</v>
      </c>
      <c r="J138" s="694">
        <v>0.3</v>
      </c>
      <c r="K138" s="694">
        <v>1</v>
      </c>
      <c r="M138" s="356">
        <f t="shared" si="4"/>
        <v>13.049999999999999</v>
      </c>
    </row>
    <row r="139" spans="4:13">
      <c r="D139" s="2418"/>
      <c r="E139" s="682">
        <v>2016</v>
      </c>
      <c r="F139" s="694">
        <v>11.52</v>
      </c>
      <c r="G139" s="694">
        <v>16.2</v>
      </c>
      <c r="H139" s="694">
        <v>4.42</v>
      </c>
      <c r="I139" s="694">
        <v>1.6</v>
      </c>
      <c r="J139" s="694">
        <v>0.9</v>
      </c>
      <c r="K139" s="694">
        <v>0.26</v>
      </c>
      <c r="M139" s="356">
        <f t="shared" si="4"/>
        <v>5.8166666666666664</v>
      </c>
    </row>
    <row r="140" spans="4:13">
      <c r="D140" s="470"/>
      <c r="E140" s="688"/>
      <c r="F140" s="689">
        <v>31</v>
      </c>
      <c r="G140" s="689">
        <v>30</v>
      </c>
      <c r="H140" s="689">
        <v>31</v>
      </c>
      <c r="I140" s="689">
        <v>31</v>
      </c>
      <c r="J140" s="689">
        <v>30</v>
      </c>
      <c r="K140" s="689">
        <v>31</v>
      </c>
      <c r="L140" s="689">
        <v>30</v>
      </c>
    </row>
    <row r="141" spans="4:13">
      <c r="F141" s="2461" t="s">
        <v>542</v>
      </c>
      <c r="G141" s="2461"/>
      <c r="H141" s="2461"/>
      <c r="I141" s="2461"/>
      <c r="J141" s="2461"/>
      <c r="K141" s="2461"/>
      <c r="L141" s="2461"/>
    </row>
    <row r="142" spans="4:13">
      <c r="D142" s="686" t="s">
        <v>211</v>
      </c>
      <c r="E142" s="687" t="s">
        <v>89</v>
      </c>
      <c r="F142" s="700" t="s">
        <v>68</v>
      </c>
      <c r="G142" s="700" t="s">
        <v>69</v>
      </c>
      <c r="H142" s="700" t="s">
        <v>70</v>
      </c>
      <c r="I142" s="700" t="s">
        <v>71</v>
      </c>
      <c r="J142" s="700" t="s">
        <v>72</v>
      </c>
      <c r="K142" s="700" t="s">
        <v>73</v>
      </c>
      <c r="L142" s="700" t="s">
        <v>74</v>
      </c>
    </row>
    <row r="143" spans="4:13">
      <c r="D143" s="2418" t="s">
        <v>1029</v>
      </c>
      <c r="E143" s="682">
        <v>2013</v>
      </c>
      <c r="F143" s="691">
        <f>F132*1.983*F$140</f>
        <v>0</v>
      </c>
      <c r="G143" s="691">
        <f t="shared" ref="G143:L143" si="5">G132*1.983*G$140</f>
        <v>22.903650000000003</v>
      </c>
      <c r="H143" s="691">
        <f t="shared" si="5"/>
        <v>14.75352</v>
      </c>
      <c r="I143" s="691">
        <f t="shared" si="5"/>
        <v>19.056629999999998</v>
      </c>
      <c r="J143" s="691">
        <f t="shared" si="5"/>
        <v>599.0643</v>
      </c>
      <c r="K143" s="691">
        <f t="shared" si="5"/>
        <v>96.512610000000009</v>
      </c>
      <c r="L143" s="691">
        <f t="shared" si="5"/>
        <v>26.770500000000002</v>
      </c>
    </row>
    <row r="144" spans="4:13">
      <c r="D144" s="2418"/>
      <c r="E144" s="682">
        <v>2014</v>
      </c>
      <c r="F144" s="691">
        <f>(F133*1.983)*F$140</f>
        <v>165.97710000000004</v>
      </c>
      <c r="G144" s="691">
        <f t="shared" ref="G144:L144" si="6">G133*1.983*G$140</f>
        <v>178.47</v>
      </c>
      <c r="H144" s="691">
        <f t="shared" si="6"/>
        <v>590.14080000000001</v>
      </c>
      <c r="I144" s="691">
        <f t="shared" si="6"/>
        <v>165.97710000000004</v>
      </c>
      <c r="J144" s="691">
        <f t="shared" si="6"/>
        <v>178.47</v>
      </c>
      <c r="K144" s="691">
        <f t="shared" si="6"/>
        <v>209.00820000000002</v>
      </c>
      <c r="L144" s="691">
        <f t="shared" si="6"/>
        <v>0</v>
      </c>
    </row>
    <row r="145" spans="4:13">
      <c r="D145" s="2418"/>
      <c r="E145" s="682">
        <v>2015</v>
      </c>
      <c r="F145" s="691">
        <f t="shared" ref="F145:L145" si="7">F134*1.983*F$140</f>
        <v>749.97059999999999</v>
      </c>
      <c r="G145" s="691">
        <f t="shared" si="7"/>
        <v>291.50100000000003</v>
      </c>
      <c r="H145" s="691">
        <f t="shared" si="7"/>
        <v>178.27170000000001</v>
      </c>
      <c r="I145" s="691">
        <f t="shared" si="7"/>
        <v>73.767600000000002</v>
      </c>
      <c r="J145" s="691">
        <f t="shared" si="7"/>
        <v>11.898000000000001</v>
      </c>
      <c r="K145" s="691">
        <f t="shared" si="7"/>
        <v>98.356800000000021</v>
      </c>
      <c r="L145" s="691">
        <f t="shared" si="7"/>
        <v>0</v>
      </c>
    </row>
    <row r="146" spans="4:13">
      <c r="D146" s="2418"/>
      <c r="E146" s="682">
        <v>2016</v>
      </c>
      <c r="F146" s="691">
        <f t="shared" ref="F146:L146" si="8">F135*1.983*F$140</f>
        <v>579.07566000000008</v>
      </c>
      <c r="G146" s="691">
        <f t="shared" si="8"/>
        <v>91.61460000000001</v>
      </c>
      <c r="H146" s="691">
        <f t="shared" si="8"/>
        <v>9.2209500000000002</v>
      </c>
      <c r="I146" s="691">
        <f t="shared" si="8"/>
        <v>6.7620300000000002</v>
      </c>
      <c r="J146" s="691">
        <f t="shared" si="8"/>
        <v>5.9490000000000007</v>
      </c>
      <c r="K146" s="691">
        <f t="shared" si="8"/>
        <v>2.45892</v>
      </c>
      <c r="L146" s="691">
        <f t="shared" si="8"/>
        <v>0</v>
      </c>
    </row>
    <row r="147" spans="4:13">
      <c r="D147" s="2418" t="s">
        <v>223</v>
      </c>
      <c r="E147" s="682">
        <v>2013</v>
      </c>
      <c r="F147" s="691">
        <f t="shared" ref="F147:L147" si="9">F136*1.983*F$140</f>
        <v>0</v>
      </c>
      <c r="G147" s="691">
        <f t="shared" si="9"/>
        <v>199.29150000000001</v>
      </c>
      <c r="H147" s="691">
        <f t="shared" si="9"/>
        <v>28.400526000000003</v>
      </c>
      <c r="I147" s="691">
        <f t="shared" si="9"/>
        <v>182.57481000000001</v>
      </c>
      <c r="J147" s="691">
        <f t="shared" si="9"/>
        <v>2106.5409</v>
      </c>
      <c r="K147" s="691">
        <f t="shared" si="9"/>
        <v>220.07334</v>
      </c>
      <c r="L147" s="691">
        <f t="shared" si="9"/>
        <v>146.94030000000001</v>
      </c>
    </row>
    <row r="148" spans="4:13">
      <c r="D148" s="2418"/>
      <c r="E148" s="682">
        <v>2014</v>
      </c>
      <c r="F148" s="691">
        <f t="shared" ref="F148:L148" si="10">F137*1.983*F$140</f>
        <v>633.17190000000005</v>
      </c>
      <c r="G148" s="691">
        <f t="shared" si="10"/>
        <v>178.47</v>
      </c>
      <c r="H148" s="691">
        <f t="shared" si="10"/>
        <v>2870.7891000000004</v>
      </c>
      <c r="I148" s="691">
        <f t="shared" si="10"/>
        <v>725.3814000000001</v>
      </c>
      <c r="J148" s="691">
        <f t="shared" si="10"/>
        <v>166.57199999999997</v>
      </c>
      <c r="K148" s="691">
        <f t="shared" si="10"/>
        <v>301.21770000000004</v>
      </c>
      <c r="L148" s="691">
        <f t="shared" si="10"/>
        <v>0</v>
      </c>
    </row>
    <row r="149" spans="4:13">
      <c r="D149" s="2418"/>
      <c r="E149" s="682">
        <v>2015</v>
      </c>
      <c r="F149" s="691">
        <f t="shared" ref="F149:L149" si="11">F138*1.983*F$140</f>
        <v>1327.8168000000003</v>
      </c>
      <c r="G149" s="691">
        <f t="shared" si="11"/>
        <v>1766.8530000000001</v>
      </c>
      <c r="H149" s="691">
        <f t="shared" si="11"/>
        <v>682.35030000000006</v>
      </c>
      <c r="I149" s="691">
        <f t="shared" si="11"/>
        <v>897.50580000000002</v>
      </c>
      <c r="J149" s="691">
        <f t="shared" si="11"/>
        <v>17.847000000000001</v>
      </c>
      <c r="K149" s="691">
        <f t="shared" si="11"/>
        <v>61.473000000000006</v>
      </c>
      <c r="L149" s="691">
        <f t="shared" si="11"/>
        <v>0</v>
      </c>
    </row>
    <row r="150" spans="4:13">
      <c r="D150" s="2418"/>
      <c r="E150" s="682">
        <v>2016</v>
      </c>
      <c r="F150" s="691">
        <f t="shared" ref="F150:L150" si="12">F139*1.983*F$140</f>
        <v>708.16895999999997</v>
      </c>
      <c r="G150" s="691">
        <f t="shared" si="12"/>
        <v>963.73800000000006</v>
      </c>
      <c r="H150" s="691">
        <f t="shared" si="12"/>
        <v>271.71066000000002</v>
      </c>
      <c r="I150" s="691">
        <f t="shared" si="12"/>
        <v>98.356800000000021</v>
      </c>
      <c r="J150" s="691">
        <f t="shared" si="12"/>
        <v>53.541000000000004</v>
      </c>
      <c r="K150" s="691">
        <f t="shared" si="12"/>
        <v>15.982980000000001</v>
      </c>
      <c r="L150" s="691">
        <f t="shared" si="12"/>
        <v>0</v>
      </c>
    </row>
    <row r="152" spans="4:13" ht="27.5" customHeight="1">
      <c r="E152" s="692"/>
      <c r="F152" s="2393" t="s">
        <v>1039</v>
      </c>
      <c r="G152" s="2393"/>
      <c r="H152" s="2393"/>
      <c r="I152" s="2393"/>
      <c r="J152" s="2393"/>
      <c r="K152" s="2393"/>
      <c r="L152" s="2393"/>
      <c r="M152" s="95" t="s">
        <v>102</v>
      </c>
    </row>
    <row r="153" spans="4:13">
      <c r="D153" s="686" t="s">
        <v>211</v>
      </c>
      <c r="E153" s="687" t="s">
        <v>89</v>
      </c>
      <c r="F153" s="700" t="s">
        <v>68</v>
      </c>
      <c r="G153" s="700" t="s">
        <v>69</v>
      </c>
      <c r="H153" s="700" t="s">
        <v>70</v>
      </c>
      <c r="I153" s="700" t="s">
        <v>71</v>
      </c>
      <c r="J153" s="700" t="s">
        <v>72</v>
      </c>
      <c r="K153" s="700" t="s">
        <v>73</v>
      </c>
      <c r="L153" s="705" t="s">
        <v>74</v>
      </c>
      <c r="M153" s="700" t="s">
        <v>1044</v>
      </c>
    </row>
    <row r="154" spans="4:13" ht="14" customHeight="1">
      <c r="D154" s="2418" t="s">
        <v>1029</v>
      </c>
      <c r="E154" s="682">
        <v>2013</v>
      </c>
      <c r="F154" s="358"/>
      <c r="G154" s="358">
        <v>58</v>
      </c>
      <c r="H154" s="358">
        <v>15</v>
      </c>
      <c r="I154" s="358">
        <v>27</v>
      </c>
      <c r="J154" s="358">
        <v>26</v>
      </c>
      <c r="K154" s="358">
        <v>11</v>
      </c>
      <c r="L154" s="704">
        <v>11</v>
      </c>
      <c r="M154" s="31">
        <f>AVERAGE(F154:L154)</f>
        <v>24.666666666666668</v>
      </c>
    </row>
    <row r="155" spans="4:13">
      <c r="D155" s="2418"/>
      <c r="E155" s="682">
        <v>2014</v>
      </c>
      <c r="F155" s="358">
        <v>17</v>
      </c>
      <c r="G155" s="358">
        <v>12</v>
      </c>
      <c r="H155" s="358">
        <v>510</v>
      </c>
      <c r="I155" s="358">
        <v>11</v>
      </c>
      <c r="J155" s="358">
        <v>11</v>
      </c>
      <c r="K155" s="358">
        <v>14</v>
      </c>
      <c r="L155" s="704"/>
      <c r="M155" s="31">
        <f t="shared" ref="M155:M161" si="13">AVERAGE(F155:L155)</f>
        <v>95.833333333333329</v>
      </c>
    </row>
    <row r="156" spans="4:13">
      <c r="D156" s="2418"/>
      <c r="E156" s="682">
        <v>2015</v>
      </c>
      <c r="F156" s="358">
        <v>41</v>
      </c>
      <c r="G156" s="358">
        <v>28</v>
      </c>
      <c r="H156" s="358">
        <v>29</v>
      </c>
      <c r="I156" s="358">
        <v>22</v>
      </c>
      <c r="J156" s="358">
        <v>75</v>
      </c>
      <c r="K156" s="358">
        <v>8</v>
      </c>
      <c r="L156" s="704"/>
      <c r="M156" s="31">
        <f t="shared" si="13"/>
        <v>33.833333333333336</v>
      </c>
    </row>
    <row r="157" spans="4:13">
      <c r="D157" s="2418"/>
      <c r="E157" s="682">
        <v>2016</v>
      </c>
      <c r="F157" s="683">
        <v>113</v>
      </c>
      <c r="G157" s="683">
        <v>15</v>
      </c>
      <c r="H157" s="683">
        <v>28</v>
      </c>
      <c r="I157" s="683">
        <v>26</v>
      </c>
      <c r="J157" s="683">
        <v>28</v>
      </c>
      <c r="K157" s="683">
        <v>133</v>
      </c>
      <c r="L157" s="704"/>
      <c r="M157" s="31">
        <f t="shared" si="13"/>
        <v>57.166666666666664</v>
      </c>
    </row>
    <row r="158" spans="4:13" ht="14" customHeight="1">
      <c r="D158" s="2418" t="s">
        <v>223</v>
      </c>
      <c r="E158" s="682">
        <v>2013</v>
      </c>
      <c r="F158" s="358"/>
      <c r="G158" s="358">
        <v>12</v>
      </c>
      <c r="H158" s="358">
        <v>36</v>
      </c>
      <c r="I158" s="358">
        <v>35</v>
      </c>
      <c r="J158" s="358">
        <v>48</v>
      </c>
      <c r="K158" s="358">
        <v>66</v>
      </c>
      <c r="L158" s="704">
        <v>44</v>
      </c>
      <c r="M158" s="31">
        <f t="shared" si="13"/>
        <v>40.166666666666664</v>
      </c>
    </row>
    <row r="159" spans="4:13">
      <c r="D159" s="2418"/>
      <c r="E159" s="682">
        <v>2014</v>
      </c>
      <c r="F159" s="358">
        <v>19</v>
      </c>
      <c r="G159" s="358">
        <v>16</v>
      </c>
      <c r="H159" s="358">
        <v>377</v>
      </c>
      <c r="I159" s="358">
        <v>13</v>
      </c>
      <c r="J159" s="358">
        <v>16</v>
      </c>
      <c r="K159" s="358">
        <v>21</v>
      </c>
      <c r="L159" s="704"/>
      <c r="M159" s="31">
        <f t="shared" si="13"/>
        <v>77</v>
      </c>
    </row>
    <row r="160" spans="4:13">
      <c r="D160" s="2418"/>
      <c r="E160" s="682">
        <v>2015</v>
      </c>
      <c r="F160" s="358">
        <v>93</v>
      </c>
      <c r="G160" s="358">
        <v>256</v>
      </c>
      <c r="H160" s="358">
        <v>55</v>
      </c>
      <c r="I160" s="358">
        <v>78</v>
      </c>
      <c r="J160" s="358">
        <v>20</v>
      </c>
      <c r="K160" s="358">
        <v>13</v>
      </c>
      <c r="L160" s="704"/>
      <c r="M160" s="31">
        <f t="shared" si="13"/>
        <v>85.833333333333329</v>
      </c>
    </row>
    <row r="161" spans="4:14">
      <c r="D161" s="2418"/>
      <c r="E161" s="682">
        <v>2016</v>
      </c>
      <c r="F161" s="683">
        <v>65</v>
      </c>
      <c r="G161" s="683">
        <v>34</v>
      </c>
      <c r="H161" s="683">
        <v>22</v>
      </c>
      <c r="I161" s="683">
        <v>54</v>
      </c>
      <c r="J161" s="683">
        <v>35</v>
      </c>
      <c r="K161" s="683">
        <v>50</v>
      </c>
      <c r="L161" s="704"/>
      <c r="M161" s="31">
        <f t="shared" si="13"/>
        <v>43.333333333333336</v>
      </c>
    </row>
    <row r="163" spans="4:14" ht="52">
      <c r="E163" s="692">
        <v>2.7230000000000002E-3</v>
      </c>
      <c r="F163" s="2460" t="s">
        <v>389</v>
      </c>
      <c r="G163" s="2460"/>
      <c r="H163" s="2460"/>
      <c r="I163" s="2460"/>
      <c r="J163" s="2460"/>
      <c r="K163" s="2460"/>
      <c r="L163" s="2460"/>
      <c r="M163" s="95" t="s">
        <v>102</v>
      </c>
    </row>
    <row r="164" spans="4:14">
      <c r="D164" s="686" t="s">
        <v>211</v>
      </c>
      <c r="E164" s="687" t="s">
        <v>89</v>
      </c>
      <c r="F164" s="690" t="s">
        <v>68</v>
      </c>
      <c r="G164" s="690" t="s">
        <v>69</v>
      </c>
      <c r="H164" s="690" t="s">
        <v>70</v>
      </c>
      <c r="I164" s="690" t="s">
        <v>71</v>
      </c>
      <c r="J164" s="690" t="s">
        <v>72</v>
      </c>
      <c r="K164" s="690" t="s">
        <v>73</v>
      </c>
      <c r="L164" s="690" t="s">
        <v>74</v>
      </c>
      <c r="M164" s="700" t="s">
        <v>1044</v>
      </c>
    </row>
    <row r="165" spans="4:14">
      <c r="D165" s="2418" t="s">
        <v>1029</v>
      </c>
      <c r="E165" s="682">
        <v>2013</v>
      </c>
      <c r="F165" s="358"/>
      <c r="G165" s="358">
        <v>265</v>
      </c>
      <c r="H165" s="358">
        <v>414</v>
      </c>
      <c r="I165" s="358">
        <v>826</v>
      </c>
      <c r="J165" s="358">
        <v>385</v>
      </c>
      <c r="K165" s="358">
        <v>348</v>
      </c>
      <c r="L165" s="358">
        <v>255</v>
      </c>
      <c r="M165" s="31">
        <f>AVERAGE(F165:L165)</f>
        <v>415.5</v>
      </c>
    </row>
    <row r="166" spans="4:14">
      <c r="D166" s="2418"/>
      <c r="E166" s="682">
        <v>2014</v>
      </c>
      <c r="F166" s="358">
        <v>521</v>
      </c>
      <c r="G166" s="358">
        <v>241</v>
      </c>
      <c r="H166" s="358">
        <v>781</v>
      </c>
      <c r="I166" s="358">
        <v>287</v>
      </c>
      <c r="J166" s="358">
        <v>169</v>
      </c>
      <c r="K166" s="358">
        <v>353</v>
      </c>
      <c r="L166" s="358"/>
      <c r="M166" s="31">
        <f t="shared" ref="M166:M172" si="14">AVERAGE(F166:L166)</f>
        <v>392</v>
      </c>
    </row>
    <row r="167" spans="4:14">
      <c r="D167" s="2418"/>
      <c r="E167" s="682">
        <v>2015</v>
      </c>
      <c r="F167" s="684">
        <v>499</v>
      </c>
      <c r="G167" s="358">
        <v>327</v>
      </c>
      <c r="H167" s="358">
        <v>219</v>
      </c>
      <c r="I167" s="358">
        <v>235</v>
      </c>
      <c r="J167" s="358">
        <v>271</v>
      </c>
      <c r="K167" s="358">
        <v>339</v>
      </c>
      <c r="L167" s="358"/>
      <c r="M167" s="31">
        <f t="shared" si="14"/>
        <v>315</v>
      </c>
    </row>
    <row r="168" spans="4:14">
      <c r="D168" s="2418"/>
      <c r="E168" s="682">
        <v>2016</v>
      </c>
      <c r="F168" s="683">
        <v>473</v>
      </c>
      <c r="G168" s="683">
        <v>266</v>
      </c>
      <c r="H168" s="683">
        <v>757</v>
      </c>
      <c r="I168" s="683">
        <v>976</v>
      </c>
      <c r="J168" s="683">
        <v>976</v>
      </c>
      <c r="K168" s="683">
        <v>1296</v>
      </c>
      <c r="L168" s="358"/>
      <c r="M168" s="31">
        <f t="shared" si="14"/>
        <v>790.66666666666663</v>
      </c>
    </row>
    <row r="169" spans="4:14">
      <c r="D169" s="2418" t="s">
        <v>223</v>
      </c>
      <c r="E169" s="682">
        <v>2013</v>
      </c>
      <c r="F169" s="358"/>
      <c r="G169" s="358">
        <v>133</v>
      </c>
      <c r="H169" s="358">
        <v>758</v>
      </c>
      <c r="I169" s="358">
        <v>672</v>
      </c>
      <c r="J169" s="358">
        <v>375</v>
      </c>
      <c r="K169" s="358">
        <v>400</v>
      </c>
      <c r="L169" s="358">
        <v>694</v>
      </c>
      <c r="M169" s="31">
        <f t="shared" si="14"/>
        <v>505.33333333333331</v>
      </c>
    </row>
    <row r="170" spans="4:14">
      <c r="D170" s="2418"/>
      <c r="E170" s="682">
        <v>2014</v>
      </c>
      <c r="F170" s="358">
        <v>751</v>
      </c>
      <c r="G170" s="358">
        <v>330</v>
      </c>
      <c r="H170" s="358">
        <v>914</v>
      </c>
      <c r="I170" s="358">
        <v>214</v>
      </c>
      <c r="J170" s="358">
        <v>253</v>
      </c>
      <c r="K170" s="358">
        <v>490</v>
      </c>
      <c r="L170" s="358"/>
      <c r="M170" s="31">
        <f t="shared" si="14"/>
        <v>492</v>
      </c>
    </row>
    <row r="171" spans="4:14">
      <c r="D171" s="2418"/>
      <c r="E171" s="682">
        <v>2015</v>
      </c>
      <c r="F171" s="358">
        <v>629</v>
      </c>
      <c r="G171" s="358">
        <v>558</v>
      </c>
      <c r="H171" s="358">
        <v>297</v>
      </c>
      <c r="I171" s="358">
        <v>435</v>
      </c>
      <c r="J171" s="358">
        <v>218</v>
      </c>
      <c r="K171" s="358">
        <v>439</v>
      </c>
      <c r="L171" s="358"/>
      <c r="M171" s="31">
        <f t="shared" si="14"/>
        <v>429.33333333333331</v>
      </c>
    </row>
    <row r="172" spans="4:14">
      <c r="D172" s="2418"/>
      <c r="E172" s="682">
        <v>2016</v>
      </c>
      <c r="F172" s="683">
        <v>644</v>
      </c>
      <c r="G172" s="683">
        <v>278</v>
      </c>
      <c r="H172" s="683">
        <v>460</v>
      </c>
      <c r="I172" s="683">
        <v>251</v>
      </c>
      <c r="J172" s="683">
        <v>171</v>
      </c>
      <c r="K172" s="683">
        <v>135</v>
      </c>
      <c r="L172" s="358"/>
      <c r="M172" s="31">
        <f t="shared" si="14"/>
        <v>323.16666666666669</v>
      </c>
    </row>
    <row r="174" spans="4:14">
      <c r="E174" s="692">
        <v>2.7230000000000002E-3</v>
      </c>
      <c r="F174" s="2460" t="s">
        <v>1038</v>
      </c>
      <c r="G174" s="2460"/>
      <c r="H174" s="2460"/>
      <c r="I174" s="2460"/>
      <c r="J174" s="2460"/>
      <c r="K174" s="2460"/>
      <c r="L174" s="2460"/>
    </row>
    <row r="175" spans="4:14" ht="39">
      <c r="D175" s="698" t="s">
        <v>211</v>
      </c>
      <c r="E175" s="699" t="s">
        <v>89</v>
      </c>
      <c r="F175" s="696" t="s">
        <v>68</v>
      </c>
      <c r="G175" s="696" t="s">
        <v>69</v>
      </c>
      <c r="H175" s="696" t="s">
        <v>70</v>
      </c>
      <c r="I175" s="696" t="s">
        <v>71</v>
      </c>
      <c r="J175" s="696" t="s">
        <v>72</v>
      </c>
      <c r="K175" s="696" t="s">
        <v>73</v>
      </c>
      <c r="L175" s="696" t="s">
        <v>74</v>
      </c>
      <c r="M175" s="696" t="s">
        <v>1041</v>
      </c>
      <c r="N175" s="696" t="s">
        <v>1042</v>
      </c>
    </row>
    <row r="176" spans="4:14">
      <c r="D176" s="2418" t="s">
        <v>1198</v>
      </c>
      <c r="E176" s="682">
        <v>2013</v>
      </c>
      <c r="F176" s="358"/>
      <c r="G176" s="358">
        <f t="shared" ref="G176:L176" si="15">G143*G154*$E$174</f>
        <v>3.6172650591000006</v>
      </c>
      <c r="H176" s="358">
        <f t="shared" si="15"/>
        <v>0.60260752439999998</v>
      </c>
      <c r="I176" s="358">
        <f t="shared" si="15"/>
        <v>1.4010624942300001</v>
      </c>
      <c r="J176" s="358">
        <f t="shared" si="15"/>
        <v>42.412554311400001</v>
      </c>
      <c r="K176" s="358">
        <f t="shared" si="15"/>
        <v>2.8908422073300009</v>
      </c>
      <c r="L176" s="358">
        <f t="shared" si="15"/>
        <v>0.80185678650000003</v>
      </c>
      <c r="M176" s="697">
        <f>SUM(F176:L176)</f>
        <v>51.726188382960004</v>
      </c>
    </row>
    <row r="177" spans="4:14">
      <c r="D177" s="2418"/>
      <c r="E177" s="682">
        <v>2014</v>
      </c>
      <c r="F177" s="358">
        <f t="shared" ref="F177:K177" si="16">F144*F155*$E$174</f>
        <v>7.6832459361000023</v>
      </c>
      <c r="G177" s="358">
        <f t="shared" si="16"/>
        <v>5.8316857200000003</v>
      </c>
      <c r="H177" s="358">
        <f t="shared" si="16"/>
        <v>819.54623318400013</v>
      </c>
      <c r="I177" s="358">
        <f t="shared" si="16"/>
        <v>4.9715120763000016</v>
      </c>
      <c r="J177" s="358">
        <f t="shared" si="16"/>
        <v>5.3457119100000003</v>
      </c>
      <c r="K177" s="358">
        <f t="shared" si="16"/>
        <v>7.9678106004000009</v>
      </c>
      <c r="L177" s="358"/>
      <c r="M177" s="697">
        <f t="shared" ref="M177:M183" si="17">SUM(F177:L177)</f>
        <v>851.34619942680001</v>
      </c>
    </row>
    <row r="178" spans="4:14">
      <c r="D178" s="2418"/>
      <c r="E178" s="682">
        <v>2015</v>
      </c>
      <c r="F178" s="358">
        <f t="shared" ref="F178:K178" si="18">F145*F156*$E$174</f>
        <v>83.728967695800009</v>
      </c>
      <c r="G178" s="358">
        <f t="shared" si="18"/>
        <v>22.225202244000005</v>
      </c>
      <c r="H178" s="358">
        <f t="shared" si="18"/>
        <v>14.077581333900003</v>
      </c>
      <c r="I178" s="358">
        <f t="shared" si="18"/>
        <v>4.4191218456000003</v>
      </c>
      <c r="J178" s="358">
        <f t="shared" si="18"/>
        <v>2.4298690500000006</v>
      </c>
      <c r="K178" s="358">
        <f t="shared" si="18"/>
        <v>2.1426045312000004</v>
      </c>
      <c r="L178" s="358"/>
      <c r="M178" s="697">
        <f t="shared" si="17"/>
        <v>129.02334670050001</v>
      </c>
    </row>
    <row r="179" spans="4:14">
      <c r="D179" s="2418"/>
      <c r="E179" s="682">
        <v>2016</v>
      </c>
      <c r="F179" s="358">
        <f t="shared" ref="F179:K179" si="19">F146*F157*$E$174</f>
        <v>178.18100150634004</v>
      </c>
      <c r="G179" s="358">
        <f t="shared" si="19"/>
        <v>3.7419983370000005</v>
      </c>
      <c r="H179" s="358">
        <f t="shared" si="19"/>
        <v>0.70304211180000009</v>
      </c>
      <c r="I179" s="358">
        <f t="shared" si="19"/>
        <v>0.47873819994000005</v>
      </c>
      <c r="J179" s="358">
        <f t="shared" si="19"/>
        <v>0.4535755560000001</v>
      </c>
      <c r="K179" s="358">
        <f t="shared" si="19"/>
        <v>0.89052000828000011</v>
      </c>
      <c r="L179" s="358"/>
      <c r="M179" s="697">
        <f t="shared" si="17"/>
        <v>184.44887571936005</v>
      </c>
    </row>
    <row r="180" spans="4:14">
      <c r="D180" s="2418" t="s">
        <v>1196</v>
      </c>
      <c r="E180" s="682">
        <v>2013</v>
      </c>
      <c r="F180" s="358">
        <f t="shared" ref="F180:L180" si="20">F147*F158*$E$174</f>
        <v>0</v>
      </c>
      <c r="G180" s="358">
        <f t="shared" si="20"/>
        <v>6.5120490540000002</v>
      </c>
      <c r="H180" s="358">
        <f t="shared" si="20"/>
        <v>2.7840467627280003</v>
      </c>
      <c r="I180" s="358">
        <f t="shared" si="20"/>
        <v>17.400292267050002</v>
      </c>
      <c r="J180" s="358">
        <f t="shared" si="20"/>
        <v>275.33332179360002</v>
      </c>
      <c r="K180" s="358">
        <f t="shared" si="20"/>
        <v>39.55114051812</v>
      </c>
      <c r="L180" s="358">
        <f t="shared" si="20"/>
        <v>17.605211223600001</v>
      </c>
      <c r="M180" s="697">
        <f t="shared" si="17"/>
        <v>359.18606161909804</v>
      </c>
      <c r="N180" s="478">
        <f>M180/M176</f>
        <v>6.9439885838838178</v>
      </c>
    </row>
    <row r="181" spans="4:14">
      <c r="D181" s="2418"/>
      <c r="E181" s="682">
        <v>2014</v>
      </c>
      <c r="F181" s="358">
        <f t="shared" ref="F181:K181" si="21">F148*F159*$E$174</f>
        <v>32.758414590300006</v>
      </c>
      <c r="G181" s="358">
        <f t="shared" si="21"/>
        <v>7.7755809600000001</v>
      </c>
      <c r="H181" s="358">
        <f t="shared" si="21"/>
        <v>2947.0688371761007</v>
      </c>
      <c r="I181" s="358">
        <f t="shared" si="21"/>
        <v>25.677776178600006</v>
      </c>
      <c r="J181" s="358">
        <f t="shared" si="21"/>
        <v>7.257208895999999</v>
      </c>
      <c r="K181" s="358">
        <f t="shared" si="21"/>
        <v>17.224531739100001</v>
      </c>
      <c r="L181" s="358"/>
      <c r="M181" s="697">
        <f t="shared" si="17"/>
        <v>3037.7623495401008</v>
      </c>
      <c r="N181" s="478">
        <f>M181/M177</f>
        <v>3.5681868922247912</v>
      </c>
    </row>
    <row r="182" spans="4:14">
      <c r="D182" s="2418"/>
      <c r="E182" s="682">
        <v>2015</v>
      </c>
      <c r="F182" s="358">
        <f t="shared" ref="F182:K182" si="22">F149*F160*$E$174</f>
        <v>336.25499861520012</v>
      </c>
      <c r="G182" s="358">
        <f t="shared" si="22"/>
        <v>1231.6520240640002</v>
      </c>
      <c r="H182" s="358">
        <f t="shared" si="22"/>
        <v>102.19219267950002</v>
      </c>
      <c r="I182" s="358">
        <f t="shared" si="22"/>
        <v>190.62484688519999</v>
      </c>
      <c r="J182" s="358">
        <f t="shared" si="22"/>
        <v>0.97194762000000023</v>
      </c>
      <c r="K182" s="358">
        <f t="shared" si="22"/>
        <v>2.1760827270000003</v>
      </c>
      <c r="L182" s="358"/>
      <c r="M182" s="697">
        <f t="shared" si="17"/>
        <v>1863.8720925909004</v>
      </c>
      <c r="N182" s="478">
        <f>M182/M178</f>
        <v>14.44600640314717</v>
      </c>
    </row>
    <row r="183" spans="4:14">
      <c r="D183" s="2418"/>
      <c r="E183" s="682">
        <v>2016</v>
      </c>
      <c r="F183" s="358">
        <f t="shared" ref="F183:K183" si="23">F150*F161*$E$174</f>
        <v>125.34236507520001</v>
      </c>
      <c r="G183" s="358">
        <f t="shared" si="23"/>
        <v>89.22479151600001</v>
      </c>
      <c r="H183" s="358">
        <f t="shared" si="23"/>
        <v>16.277098797960001</v>
      </c>
      <c r="I183" s="358">
        <f t="shared" si="23"/>
        <v>14.462580585600003</v>
      </c>
      <c r="J183" s="358">
        <f t="shared" si="23"/>
        <v>5.1027250050000008</v>
      </c>
      <c r="K183" s="358">
        <f t="shared" si="23"/>
        <v>2.1760827270000003</v>
      </c>
      <c r="L183" s="358"/>
      <c r="M183" s="697">
        <f t="shared" si="17"/>
        <v>252.58564370676001</v>
      </c>
      <c r="N183" s="478">
        <f>M183/M179</f>
        <v>1.3694073369743409</v>
      </c>
    </row>
    <row r="185" spans="4:14">
      <c r="E185" s="692">
        <v>2.7230000000000002E-3</v>
      </c>
      <c r="F185" s="2460" t="s">
        <v>1040</v>
      </c>
      <c r="G185" s="2460"/>
      <c r="H185" s="2460"/>
      <c r="I185" s="2460"/>
      <c r="J185" s="2460"/>
      <c r="K185" s="2460"/>
      <c r="L185" s="2460"/>
    </row>
    <row r="186" spans="4:14" ht="39">
      <c r="D186" s="698" t="s">
        <v>211</v>
      </c>
      <c r="E186" s="699" t="s">
        <v>89</v>
      </c>
      <c r="F186" s="696" t="s">
        <v>68</v>
      </c>
      <c r="G186" s="696" t="s">
        <v>69</v>
      </c>
      <c r="H186" s="696" t="s">
        <v>70</v>
      </c>
      <c r="I186" s="696" t="s">
        <v>71</v>
      </c>
      <c r="J186" s="696" t="s">
        <v>72</v>
      </c>
      <c r="K186" s="696" t="s">
        <v>73</v>
      </c>
      <c r="L186" s="696" t="s">
        <v>74</v>
      </c>
      <c r="M186" s="696" t="s">
        <v>1041</v>
      </c>
      <c r="N186" s="696" t="s">
        <v>1042</v>
      </c>
    </row>
    <row r="187" spans="4:14">
      <c r="D187" s="2418" t="s">
        <v>1197</v>
      </c>
      <c r="E187" s="682">
        <v>2013</v>
      </c>
      <c r="F187" s="358">
        <f>F143*F165*$E$174</f>
        <v>0</v>
      </c>
      <c r="G187" s="358">
        <f t="shared" ref="G187:L187" si="24">G143*G165*$E$174</f>
        <v>16.527159321750002</v>
      </c>
      <c r="H187" s="358">
        <f t="shared" si="24"/>
        <v>16.631967673439998</v>
      </c>
      <c r="I187" s="358">
        <f t="shared" si="24"/>
        <v>42.862134082739999</v>
      </c>
      <c r="J187" s="358">
        <f t="shared" si="24"/>
        <v>628.03205422650001</v>
      </c>
      <c r="K187" s="358">
        <f t="shared" si="24"/>
        <v>91.455735286440017</v>
      </c>
      <c r="L187" s="358">
        <f t="shared" si="24"/>
        <v>18.588498232500005</v>
      </c>
      <c r="M187" s="697">
        <f>SUM(F187:L187)</f>
        <v>814.09754882337006</v>
      </c>
    </row>
    <row r="188" spans="4:14">
      <c r="D188" s="2418"/>
      <c r="E188" s="682">
        <v>2014</v>
      </c>
      <c r="F188" s="358">
        <f t="shared" ref="F188:L188" si="25">F144*F166*$E$174</f>
        <v>235.46889015930009</v>
      </c>
      <c r="G188" s="358">
        <f t="shared" si="25"/>
        <v>117.11968820999999</v>
      </c>
      <c r="H188" s="358">
        <f t="shared" si="25"/>
        <v>1255.0306041504002</v>
      </c>
      <c r="I188" s="358">
        <f t="shared" si="25"/>
        <v>129.71126962710002</v>
      </c>
      <c r="J188" s="358">
        <f t="shared" si="25"/>
        <v>82.129573890000003</v>
      </c>
      <c r="K188" s="358">
        <f t="shared" si="25"/>
        <v>200.9026529958</v>
      </c>
      <c r="L188" s="358">
        <f t="shared" si="25"/>
        <v>0</v>
      </c>
      <c r="M188" s="697">
        <f t="shared" ref="M188:M194" si="26">SUM(F188:L188)</f>
        <v>2020.3626790326005</v>
      </c>
    </row>
    <row r="189" spans="4:14">
      <c r="D189" s="2418"/>
      <c r="E189" s="682">
        <v>2015</v>
      </c>
      <c r="F189" s="358">
        <f t="shared" ref="F189:L189" si="27">F145*F167*$E$174</f>
        <v>1019.0428019562</v>
      </c>
      <c r="G189" s="358">
        <f t="shared" si="27"/>
        <v>259.55861192100002</v>
      </c>
      <c r="H189" s="358">
        <f t="shared" si="27"/>
        <v>106.31001076290001</v>
      </c>
      <c r="I189" s="358">
        <f t="shared" si="27"/>
        <v>47.204256078</v>
      </c>
      <c r="J189" s="358">
        <f t="shared" si="27"/>
        <v>8.7799268340000012</v>
      </c>
      <c r="K189" s="358">
        <f t="shared" si="27"/>
        <v>90.792867009600016</v>
      </c>
      <c r="L189" s="358">
        <f t="shared" si="27"/>
        <v>0</v>
      </c>
      <c r="M189" s="697">
        <f t="shared" si="26"/>
        <v>1531.6884745617001</v>
      </c>
    </row>
    <row r="190" spans="4:14">
      <c r="D190" s="2418"/>
      <c r="E190" s="682">
        <v>2016</v>
      </c>
      <c r="F190" s="358">
        <f t="shared" ref="F190:L190" si="28">F146*F168*$E$174</f>
        <v>745.83728949114015</v>
      </c>
      <c r="G190" s="358">
        <f t="shared" si="28"/>
        <v>66.358103842800006</v>
      </c>
      <c r="H190" s="358">
        <f t="shared" si="28"/>
        <v>19.00724566545</v>
      </c>
      <c r="I190" s="358">
        <f t="shared" si="28"/>
        <v>17.971095505440001</v>
      </c>
      <c r="J190" s="358">
        <f t="shared" si="28"/>
        <v>15.810347952000004</v>
      </c>
      <c r="K190" s="358">
        <f t="shared" si="28"/>
        <v>8.6775483513600005</v>
      </c>
      <c r="L190" s="358">
        <f t="shared" si="28"/>
        <v>0</v>
      </c>
      <c r="M190" s="697">
        <f t="shared" si="26"/>
        <v>873.66163080819013</v>
      </c>
    </row>
    <row r="191" spans="4:14">
      <c r="D191" s="2418" t="s">
        <v>1196</v>
      </c>
      <c r="E191" s="682">
        <v>2013</v>
      </c>
      <c r="F191" s="358">
        <f t="shared" ref="F191:L191" si="29">F147*F169*$E$174</f>
        <v>0</v>
      </c>
      <c r="G191" s="358">
        <f t="shared" si="29"/>
        <v>72.175210348500016</v>
      </c>
      <c r="H191" s="358">
        <f t="shared" si="29"/>
        <v>58.619651281884011</v>
      </c>
      <c r="I191" s="358">
        <f t="shared" si="29"/>
        <v>334.08561152736002</v>
      </c>
      <c r="J191" s="358">
        <f t="shared" si="29"/>
        <v>2151.0415765125003</v>
      </c>
      <c r="K191" s="358">
        <f t="shared" si="29"/>
        <v>239.70388192800002</v>
      </c>
      <c r="L191" s="358">
        <f t="shared" si="29"/>
        <v>277.68219520860004</v>
      </c>
      <c r="M191" s="697">
        <f t="shared" si="26"/>
        <v>3133.3081268068449</v>
      </c>
      <c r="N191" s="478">
        <f>M191/M187</f>
        <v>3.8488116458960868</v>
      </c>
    </row>
    <row r="192" spans="4:14">
      <c r="D192" s="2418"/>
      <c r="E192" s="682">
        <v>2014</v>
      </c>
      <c r="F192" s="358">
        <f t="shared" ref="F192:L192" si="30">F148*F170*$E$174</f>
        <v>1294.8194398587002</v>
      </c>
      <c r="G192" s="358">
        <f t="shared" si="30"/>
        <v>160.3713573</v>
      </c>
      <c r="H192" s="358">
        <f t="shared" si="30"/>
        <v>7144.8830694402013</v>
      </c>
      <c r="I192" s="358">
        <f t="shared" si="30"/>
        <v>422.69570017080014</v>
      </c>
      <c r="J192" s="358">
        <f t="shared" si="30"/>
        <v>114.75461566799999</v>
      </c>
      <c r="K192" s="358">
        <f t="shared" si="30"/>
        <v>401.90574057900005</v>
      </c>
      <c r="L192" s="358">
        <f t="shared" si="30"/>
        <v>0</v>
      </c>
      <c r="M192" s="697">
        <f t="shared" si="26"/>
        <v>9539.4299230167017</v>
      </c>
      <c r="N192" s="478">
        <f>M192/M188</f>
        <v>4.7216423179943199</v>
      </c>
    </row>
    <row r="193" spans="3:14">
      <c r="D193" s="2418"/>
      <c r="E193" s="682">
        <v>2015</v>
      </c>
      <c r="F193" s="358">
        <f t="shared" ref="F193:L193" si="31">F149*F171*$E$174</f>
        <v>2274.2407970856007</v>
      </c>
      <c r="G193" s="358">
        <f t="shared" si="31"/>
        <v>2684.6165212020001</v>
      </c>
      <c r="H193" s="358">
        <f t="shared" si="31"/>
        <v>551.83784046930009</v>
      </c>
      <c r="I193" s="358">
        <f t="shared" si="31"/>
        <v>1063.1001076289999</v>
      </c>
      <c r="J193" s="358">
        <f t="shared" si="31"/>
        <v>10.594229058000002</v>
      </c>
      <c r="K193" s="358">
        <f t="shared" si="31"/>
        <v>73.484639781000013</v>
      </c>
      <c r="L193" s="358">
        <f t="shared" si="31"/>
        <v>0</v>
      </c>
      <c r="M193" s="697">
        <f t="shared" si="26"/>
        <v>6657.8741352249008</v>
      </c>
      <c r="N193" s="478">
        <f>M193/M189</f>
        <v>4.3467547388381851</v>
      </c>
    </row>
    <row r="194" spans="3:14">
      <c r="D194" s="2418"/>
      <c r="E194" s="682">
        <v>2016</v>
      </c>
      <c r="F194" s="358">
        <f t="shared" ref="F194:L194" si="32">F150*F172*$E$174</f>
        <v>1241.8535862835199</v>
      </c>
      <c r="G194" s="358">
        <f t="shared" si="32"/>
        <v>729.54388357200003</v>
      </c>
      <c r="H194" s="358">
        <f t="shared" si="32"/>
        <v>340.33933850280005</v>
      </c>
      <c r="I194" s="358">
        <f t="shared" si="32"/>
        <v>67.224217166400024</v>
      </c>
      <c r="J194" s="358">
        <f t="shared" si="32"/>
        <v>24.930456453000001</v>
      </c>
      <c r="K194" s="358">
        <f t="shared" si="32"/>
        <v>5.8754233629000012</v>
      </c>
      <c r="L194" s="358">
        <f t="shared" si="32"/>
        <v>0</v>
      </c>
      <c r="M194" s="697">
        <f t="shared" si="26"/>
        <v>2409.7669053406198</v>
      </c>
      <c r="N194" s="478">
        <f>M194/M190</f>
        <v>2.7582382244616133</v>
      </c>
    </row>
    <row r="197" spans="3:14">
      <c r="E197" s="2460" t="s">
        <v>1045</v>
      </c>
      <c r="F197" s="2460"/>
      <c r="G197" s="78" t="s">
        <v>1046</v>
      </c>
      <c r="H197" s="78" t="s">
        <v>1047</v>
      </c>
    </row>
    <row r="198" spans="3:14" ht="42">
      <c r="E198" s="78" t="s">
        <v>227</v>
      </c>
      <c r="F198" s="78" t="s">
        <v>226</v>
      </c>
      <c r="G198" s="78" t="s">
        <v>226</v>
      </c>
      <c r="H198" s="78" t="s">
        <v>226</v>
      </c>
    </row>
    <row r="199" spans="3:14">
      <c r="C199" t="s">
        <v>208</v>
      </c>
      <c r="D199" s="78" t="s">
        <v>1029</v>
      </c>
      <c r="E199" s="78">
        <v>397</v>
      </c>
      <c r="F199" s="78">
        <v>16</v>
      </c>
      <c r="G199" s="78">
        <v>27</v>
      </c>
      <c r="H199" s="78">
        <v>14</v>
      </c>
      <c r="I199" s="78">
        <f>AVERAGE(F199:H199)</f>
        <v>19</v>
      </c>
    </row>
    <row r="200" spans="3:14">
      <c r="C200" t="s">
        <v>209</v>
      </c>
      <c r="D200" s="78" t="s">
        <v>223</v>
      </c>
      <c r="E200" s="78">
        <v>361</v>
      </c>
      <c r="F200" s="78">
        <v>28</v>
      </c>
      <c r="G200" s="78">
        <v>16</v>
      </c>
      <c r="H200" s="78">
        <v>17</v>
      </c>
      <c r="I200" s="78">
        <f>AVERAGE(F200:H200)</f>
        <v>20.333333333333332</v>
      </c>
    </row>
  </sheetData>
  <mergeCells count="110">
    <mergeCell ref="AH111:AK111"/>
    <mergeCell ref="AL111:AO111"/>
    <mergeCell ref="AP111:AS111"/>
    <mergeCell ref="U119:V119"/>
    <mergeCell ref="W119:X119"/>
    <mergeCell ref="E197:F197"/>
    <mergeCell ref="A119:A120"/>
    <mergeCell ref="D121:D124"/>
    <mergeCell ref="D125:D128"/>
    <mergeCell ref="C121:C124"/>
    <mergeCell ref="C125:C128"/>
    <mergeCell ref="A121:A128"/>
    <mergeCell ref="D119:D120"/>
    <mergeCell ref="C119:C120"/>
    <mergeCell ref="F141:L141"/>
    <mergeCell ref="D154:D157"/>
    <mergeCell ref="D158:D161"/>
    <mergeCell ref="F152:L152"/>
    <mergeCell ref="F163:L163"/>
    <mergeCell ref="D165:D168"/>
    <mergeCell ref="D169:D172"/>
    <mergeCell ref="N119:O119"/>
    <mergeCell ref="P119:Q119"/>
    <mergeCell ref="D132:D135"/>
    <mergeCell ref="R119:T119"/>
    <mergeCell ref="E119:E120"/>
    <mergeCell ref="F119:G119"/>
    <mergeCell ref="H119:I119"/>
    <mergeCell ref="J119:K119"/>
    <mergeCell ref="L119:M119"/>
    <mergeCell ref="AD102:AG102"/>
    <mergeCell ref="C111:C112"/>
    <mergeCell ref="D111:D112"/>
    <mergeCell ref="E111:H111"/>
    <mergeCell ref="I111:L111"/>
    <mergeCell ref="M111:P111"/>
    <mergeCell ref="Q111:U111"/>
    <mergeCell ref="V111:Y111"/>
    <mergeCell ref="Z111:AC111"/>
    <mergeCell ref="AD111:AG111"/>
    <mergeCell ref="Z95:AC95"/>
    <mergeCell ref="C102:C103"/>
    <mergeCell ref="D102:D103"/>
    <mergeCell ref="E102:H102"/>
    <mergeCell ref="I102:L102"/>
    <mergeCell ref="M102:P102"/>
    <mergeCell ref="Q102:U102"/>
    <mergeCell ref="V102:Y102"/>
    <mergeCell ref="Z102:AC102"/>
    <mergeCell ref="C95:C96"/>
    <mergeCell ref="D95:D96"/>
    <mergeCell ref="E95:H95"/>
    <mergeCell ref="I95:L95"/>
    <mergeCell ref="M95:P95"/>
    <mergeCell ref="V95:Y95"/>
    <mergeCell ref="Q95:U95"/>
    <mergeCell ref="A25:A26"/>
    <mergeCell ref="B3:B4"/>
    <mergeCell ref="B5:B7"/>
    <mergeCell ref="B10:B15"/>
    <mergeCell ref="B25:B26"/>
    <mergeCell ref="A22:A23"/>
    <mergeCell ref="B22:B23"/>
    <mergeCell ref="A10:A15"/>
    <mergeCell ref="A5:A7"/>
    <mergeCell ref="A3:A4"/>
    <mergeCell ref="Q72:R72"/>
    <mergeCell ref="E84:J84"/>
    <mergeCell ref="E81:J81"/>
    <mergeCell ref="B16:B18"/>
    <mergeCell ref="D1:D2"/>
    <mergeCell ref="C1:C2"/>
    <mergeCell ref="K1:L1"/>
    <mergeCell ref="M1:N1"/>
    <mergeCell ref="O1:P1"/>
    <mergeCell ref="I1:J1"/>
    <mergeCell ref="G1:H1"/>
    <mergeCell ref="E1:F1"/>
    <mergeCell ref="M72:N72"/>
    <mergeCell ref="O72:P72"/>
    <mergeCell ref="D191:D194"/>
    <mergeCell ref="F174:L174"/>
    <mergeCell ref="D176:D179"/>
    <mergeCell ref="D180:D183"/>
    <mergeCell ref="F185:L185"/>
    <mergeCell ref="D187:D190"/>
    <mergeCell ref="F130:L130"/>
    <mergeCell ref="E87:J87"/>
    <mergeCell ref="E72:F72"/>
    <mergeCell ref="G72:H72"/>
    <mergeCell ref="I72:J72"/>
    <mergeCell ref="K72:L72"/>
    <mergeCell ref="D136:D139"/>
    <mergeCell ref="D143:D146"/>
    <mergeCell ref="D147:D150"/>
    <mergeCell ref="AI26:AI27"/>
    <mergeCell ref="AJ26:AJ27"/>
    <mergeCell ref="Q1:S1"/>
    <mergeCell ref="AM2:AO2"/>
    <mergeCell ref="AI11:AI16"/>
    <mergeCell ref="AJ11:AJ16"/>
    <mergeCell ref="AJ17:AJ19"/>
    <mergeCell ref="AI23:AI24"/>
    <mergeCell ref="AJ23:AJ24"/>
    <mergeCell ref="AK2:AK3"/>
    <mergeCell ref="AL2:AL3"/>
    <mergeCell ref="AI4:AI5"/>
    <mergeCell ref="AJ4:AJ5"/>
    <mergeCell ref="AI6:AI8"/>
    <mergeCell ref="AJ6:AJ8"/>
  </mergeCells>
  <pageMargins left="0.7" right="0.7" top="0.75" bottom="0.75" header="0.3" footer="0.3"/>
  <pageSetup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T72"/>
  <sheetViews>
    <sheetView topLeftCell="A58" workbookViewId="0">
      <selection activeCell="M20" sqref="M20"/>
    </sheetView>
  </sheetViews>
  <sheetFormatPr defaultRowHeight="14"/>
  <cols>
    <col min="1" max="1" width="10.1796875" bestFit="1" customWidth="1"/>
    <col min="2" max="2" width="8.1796875" customWidth="1"/>
    <col min="3" max="3" width="11.81640625" bestFit="1" customWidth="1"/>
    <col min="4" max="4" width="11.36328125" bestFit="1" customWidth="1"/>
    <col min="8" max="8" width="8.453125" bestFit="1" customWidth="1"/>
    <col min="9" max="9" width="7.08984375" bestFit="1" customWidth="1"/>
    <col min="10" max="10" width="7.90625" bestFit="1" customWidth="1"/>
    <col min="11" max="11" width="11.26953125" bestFit="1" customWidth="1"/>
    <col min="12" max="12" width="4" bestFit="1" customWidth="1"/>
    <col min="13" max="13" width="6.7265625" bestFit="1" customWidth="1"/>
    <col min="14" max="14" width="11.54296875" bestFit="1" customWidth="1"/>
    <col min="16" max="16" width="9.90625" bestFit="1" customWidth="1"/>
  </cols>
  <sheetData>
    <row r="1" spans="1:15">
      <c r="B1" s="2489">
        <v>2016</v>
      </c>
      <c r="C1" s="2489"/>
      <c r="D1" s="2489">
        <v>2017</v>
      </c>
      <c r="E1" s="2489"/>
      <c r="F1" s="2489">
        <v>2018</v>
      </c>
      <c r="G1" s="2489"/>
      <c r="H1" s="2489">
        <v>2019</v>
      </c>
      <c r="I1" s="2489"/>
      <c r="J1" s="2489"/>
    </row>
    <row r="2" spans="1:15">
      <c r="A2" s="2491" t="s">
        <v>132</v>
      </c>
      <c r="B2" s="139" t="s">
        <v>327</v>
      </c>
      <c r="C2" s="1227" t="s">
        <v>793</v>
      </c>
      <c r="D2" s="139" t="s">
        <v>327</v>
      </c>
      <c r="E2" s="139" t="s">
        <v>793</v>
      </c>
      <c r="F2" s="139" t="s">
        <v>327</v>
      </c>
      <c r="G2" s="139" t="s">
        <v>793</v>
      </c>
      <c r="H2" s="139" t="s">
        <v>327</v>
      </c>
      <c r="I2" s="139" t="s">
        <v>793</v>
      </c>
      <c r="J2" s="1767" t="s">
        <v>1689</v>
      </c>
    </row>
    <row r="3" spans="1:15" ht="13.75" customHeight="1">
      <c r="A3" s="2416"/>
      <c r="B3" s="2492" t="s">
        <v>388</v>
      </c>
      <c r="C3" s="2493"/>
      <c r="D3" s="2492" t="s">
        <v>388</v>
      </c>
      <c r="E3" s="2492"/>
      <c r="F3" s="2492" t="s">
        <v>1378</v>
      </c>
      <c r="G3" s="2492"/>
      <c r="H3" s="2490" t="s">
        <v>1378</v>
      </c>
      <c r="I3" s="2490"/>
      <c r="J3" s="2490"/>
      <c r="K3" s="500"/>
      <c r="L3" s="500"/>
      <c r="M3" s="500"/>
      <c r="N3" s="501"/>
      <c r="O3" s="501"/>
    </row>
    <row r="4" spans="1:15" ht="14.5">
      <c r="A4" s="351" t="s">
        <v>64</v>
      </c>
      <c r="B4" s="1226">
        <v>1</v>
      </c>
      <c r="C4" s="1226">
        <v>3</v>
      </c>
      <c r="D4" s="1226">
        <v>1</v>
      </c>
      <c r="E4" s="1226">
        <v>3</v>
      </c>
      <c r="F4" s="358">
        <v>4</v>
      </c>
      <c r="G4" s="358">
        <v>5</v>
      </c>
      <c r="H4" s="1768">
        <v>8</v>
      </c>
      <c r="I4" s="1770">
        <v>7</v>
      </c>
      <c r="J4" s="1396"/>
      <c r="K4" s="500"/>
      <c r="L4" s="500"/>
      <c r="M4" s="504"/>
      <c r="N4" s="1046"/>
      <c r="O4" s="1045"/>
    </row>
    <row r="5" spans="1:15" ht="14.5">
      <c r="A5" s="351" t="s">
        <v>65</v>
      </c>
      <c r="B5" s="1226">
        <v>1</v>
      </c>
      <c r="C5" s="1226">
        <v>1</v>
      </c>
      <c r="D5" s="1226">
        <v>1</v>
      </c>
      <c r="E5" s="1226">
        <v>1</v>
      </c>
      <c r="F5" s="358">
        <v>1</v>
      </c>
      <c r="G5" s="358">
        <v>3</v>
      </c>
      <c r="H5" s="240">
        <v>4</v>
      </c>
      <c r="I5" s="244">
        <v>2</v>
      </c>
      <c r="J5" s="244">
        <v>4</v>
      </c>
      <c r="K5" s="500"/>
      <c r="L5" s="500"/>
      <c r="M5" s="500"/>
      <c r="N5" s="1046"/>
      <c r="O5" s="186"/>
    </row>
    <row r="6" spans="1:15" ht="14.5">
      <c r="A6" s="351" t="s">
        <v>66</v>
      </c>
      <c r="B6" s="1226">
        <v>1</v>
      </c>
      <c r="C6" s="1226">
        <v>2</v>
      </c>
      <c r="D6" s="1226">
        <v>1</v>
      </c>
      <c r="E6" s="1226">
        <v>2</v>
      </c>
      <c r="F6" s="358">
        <v>1</v>
      </c>
      <c r="G6" s="358">
        <v>8</v>
      </c>
      <c r="H6" s="1769">
        <v>2</v>
      </c>
      <c r="I6" s="1770">
        <v>4</v>
      </c>
      <c r="J6" s="1770">
        <v>13</v>
      </c>
      <c r="K6" s="500"/>
      <c r="L6" s="500"/>
      <c r="M6" s="500"/>
      <c r="N6" s="1046"/>
      <c r="O6" s="1045"/>
    </row>
    <row r="7" spans="1:15" ht="14.5">
      <c r="A7" s="351" t="s">
        <v>67</v>
      </c>
      <c r="B7" s="1226">
        <v>1</v>
      </c>
      <c r="C7" s="1226">
        <v>26</v>
      </c>
      <c r="D7" s="1226">
        <v>1</v>
      </c>
      <c r="E7" s="1226">
        <v>26</v>
      </c>
      <c r="F7" s="358"/>
      <c r="G7" s="358"/>
      <c r="H7" s="1769">
        <v>2</v>
      </c>
      <c r="I7" s="1770">
        <v>4</v>
      </c>
      <c r="J7" s="1770">
        <v>4</v>
      </c>
      <c r="K7" s="500"/>
      <c r="L7" s="500"/>
      <c r="M7" s="500"/>
      <c r="N7" s="1046"/>
      <c r="O7" s="1045"/>
    </row>
    <row r="8" spans="1:15" ht="14.5">
      <c r="A8" s="351" t="s">
        <v>68</v>
      </c>
      <c r="B8" s="1226">
        <v>6</v>
      </c>
      <c r="C8" s="1226">
        <v>26</v>
      </c>
      <c r="D8" s="1226">
        <v>6</v>
      </c>
      <c r="E8" s="1226">
        <v>26</v>
      </c>
      <c r="F8" s="358">
        <v>1</v>
      </c>
      <c r="G8" s="358">
        <v>23</v>
      </c>
      <c r="H8" s="1769">
        <v>2</v>
      </c>
      <c r="I8" s="1770">
        <v>13</v>
      </c>
      <c r="J8" s="1770">
        <v>8</v>
      </c>
      <c r="K8" s="500"/>
      <c r="L8" s="500"/>
      <c r="M8" s="500"/>
      <c r="N8" s="1046"/>
      <c r="O8" s="1045"/>
    </row>
    <row r="9" spans="1:15" ht="14.5">
      <c r="A9" s="351" t="s">
        <v>69</v>
      </c>
      <c r="B9" s="1226">
        <v>5</v>
      </c>
      <c r="C9" s="1226">
        <v>13</v>
      </c>
      <c r="D9" s="1226">
        <v>5</v>
      </c>
      <c r="E9" s="1226">
        <v>13</v>
      </c>
      <c r="F9" s="358">
        <v>2</v>
      </c>
      <c r="G9" s="358">
        <v>4</v>
      </c>
      <c r="H9" s="1769">
        <v>4</v>
      </c>
      <c r="I9" s="1770">
        <v>23</v>
      </c>
      <c r="J9" s="1770">
        <v>50</v>
      </c>
      <c r="K9" s="500"/>
      <c r="L9" s="500"/>
      <c r="M9" s="500"/>
      <c r="N9" s="1046"/>
      <c r="O9" s="1045"/>
    </row>
    <row r="10" spans="1:15" ht="14.5">
      <c r="A10" s="351" t="s">
        <v>70</v>
      </c>
      <c r="B10" s="1226">
        <v>9</v>
      </c>
      <c r="C10" s="1226">
        <v>5</v>
      </c>
      <c r="D10" s="1226">
        <v>9</v>
      </c>
      <c r="E10" s="1226">
        <v>5</v>
      </c>
      <c r="F10" s="358">
        <v>4</v>
      </c>
      <c r="G10" s="358">
        <v>23</v>
      </c>
      <c r="H10" s="1769">
        <v>4</v>
      </c>
      <c r="I10" s="1770">
        <v>23</v>
      </c>
      <c r="J10" s="1770">
        <v>50</v>
      </c>
      <c r="K10" s="500"/>
      <c r="L10" s="500"/>
      <c r="M10" s="500"/>
      <c r="N10" s="1046"/>
      <c r="O10" s="1045"/>
    </row>
    <row r="11" spans="1:15" ht="14.5">
      <c r="A11" s="351" t="s">
        <v>71</v>
      </c>
      <c r="B11" s="1226">
        <v>14</v>
      </c>
      <c r="C11" s="1226">
        <v>24</v>
      </c>
      <c r="D11" s="1226">
        <v>14</v>
      </c>
      <c r="E11" s="1226">
        <v>24</v>
      </c>
      <c r="F11" s="358">
        <v>1</v>
      </c>
      <c r="G11" s="358">
        <v>30</v>
      </c>
      <c r="H11" s="1769">
        <v>2</v>
      </c>
      <c r="I11" s="1770">
        <v>23</v>
      </c>
      <c r="J11" s="1770">
        <v>23</v>
      </c>
      <c r="K11" s="500"/>
      <c r="L11" s="500"/>
      <c r="M11" s="500"/>
      <c r="N11" s="1046"/>
      <c r="O11" s="1045"/>
    </row>
    <row r="12" spans="1:15" ht="14.5">
      <c r="A12" s="351" t="s">
        <v>72</v>
      </c>
      <c r="B12" s="1226">
        <v>1</v>
      </c>
      <c r="C12" s="1226">
        <v>1</v>
      </c>
      <c r="D12" s="1226">
        <v>1</v>
      </c>
      <c r="E12" s="1226">
        <v>1</v>
      </c>
      <c r="F12" s="358">
        <v>4</v>
      </c>
      <c r="G12" s="358">
        <v>23</v>
      </c>
      <c r="H12" s="1769">
        <v>2</v>
      </c>
      <c r="I12" s="1770">
        <v>240</v>
      </c>
      <c r="J12" s="1770">
        <v>30</v>
      </c>
      <c r="K12" s="500"/>
      <c r="L12" s="500"/>
      <c r="M12" s="500"/>
      <c r="N12" s="1046"/>
      <c r="O12" s="1045"/>
    </row>
    <row r="13" spans="1:15" ht="14.5">
      <c r="A13" s="351" t="s">
        <v>73</v>
      </c>
      <c r="B13" s="1226">
        <v>1</v>
      </c>
      <c r="C13" s="1226">
        <v>1</v>
      </c>
      <c r="D13" s="1226">
        <v>1</v>
      </c>
      <c r="E13" s="1226">
        <v>1</v>
      </c>
      <c r="F13" s="358">
        <v>4</v>
      </c>
      <c r="G13" s="358">
        <v>30</v>
      </c>
      <c r="H13" s="1769">
        <v>2</v>
      </c>
      <c r="I13" s="1770">
        <v>30</v>
      </c>
      <c r="J13" s="1770">
        <v>23</v>
      </c>
      <c r="K13" s="500"/>
      <c r="L13" s="500"/>
      <c r="M13" s="500"/>
      <c r="N13" s="1046"/>
      <c r="O13" s="1045"/>
    </row>
    <row r="14" spans="1:15" ht="14.5">
      <c r="A14" s="351" t="s">
        <v>74</v>
      </c>
      <c r="B14" s="1226">
        <v>1</v>
      </c>
      <c r="C14" s="1226">
        <v>1</v>
      </c>
      <c r="D14" s="1226">
        <v>1</v>
      </c>
      <c r="E14" s="1226">
        <v>1</v>
      </c>
      <c r="F14" s="358">
        <v>2</v>
      </c>
      <c r="G14" s="358">
        <v>8</v>
      </c>
      <c r="H14" s="1769">
        <v>2</v>
      </c>
      <c r="I14" s="1770">
        <v>4</v>
      </c>
      <c r="J14" s="1770">
        <v>2</v>
      </c>
      <c r="K14" s="500"/>
      <c r="L14" s="500"/>
      <c r="M14" s="500"/>
      <c r="N14" s="1046"/>
      <c r="O14" s="1045"/>
    </row>
    <row r="15" spans="1:15" ht="14.5">
      <c r="A15" s="351" t="s">
        <v>75</v>
      </c>
      <c r="B15" s="1226">
        <v>1</v>
      </c>
      <c r="C15" s="1226">
        <v>2</v>
      </c>
      <c r="D15" s="1226">
        <v>1</v>
      </c>
      <c r="E15" s="1226">
        <v>2</v>
      </c>
      <c r="F15" s="358">
        <v>4</v>
      </c>
      <c r="G15" s="358">
        <v>8</v>
      </c>
      <c r="H15" s="1769">
        <v>2</v>
      </c>
      <c r="I15" s="1770">
        <v>13</v>
      </c>
      <c r="J15" s="1770">
        <v>2</v>
      </c>
      <c r="K15" s="500"/>
      <c r="L15" s="500"/>
      <c r="M15" s="500"/>
      <c r="N15" s="1046"/>
      <c r="O15" s="1045"/>
    </row>
    <row r="16" spans="1:15" ht="14.5">
      <c r="A16" s="499" t="s">
        <v>922</v>
      </c>
      <c r="B16" s="1225">
        <f>GEOMEAN(B4:B15)</f>
        <v>1.9866635177534659</v>
      </c>
      <c r="C16" s="1225">
        <f t="shared" ref="C16" si="0">GEOMEAN(C4:C15)</f>
        <v>3.9070986638049146</v>
      </c>
      <c r="D16" s="1225">
        <f>GEOMEAN(D4:D15)</f>
        <v>1.9866635177534659</v>
      </c>
      <c r="E16" s="1225">
        <f>GEOMEAN(E4:E15)</f>
        <v>3.9070986638049146</v>
      </c>
      <c r="F16" s="1041">
        <f>GEOMEAN(F3:F15)</f>
        <v>2.1300821788799253</v>
      </c>
      <c r="G16" s="1041">
        <f>GEOMEAN(G4:G15)</f>
        <v>11.165937757441736</v>
      </c>
      <c r="H16" s="1041">
        <f t="shared" ref="H16:J16" si="1">GEOMEAN(H4:H15)</f>
        <v>2.6696797083400687</v>
      </c>
      <c r="I16" s="1041">
        <f t="shared" si="1"/>
        <v>12.403927711591463</v>
      </c>
      <c r="J16" s="1041">
        <f t="shared" si="1"/>
        <v>10.922929070639801</v>
      </c>
      <c r="K16" s="500"/>
      <c r="L16" s="500"/>
      <c r="M16" s="500"/>
      <c r="N16" s="502"/>
      <c r="O16" s="503"/>
    </row>
    <row r="17" spans="1:15" ht="14.5">
      <c r="H17" s="500"/>
      <c r="I17" s="502"/>
      <c r="J17" s="503"/>
      <c r="K17" s="500"/>
      <c r="L17" s="500"/>
      <c r="M17" s="500"/>
      <c r="N17" s="502"/>
      <c r="O17" s="503"/>
    </row>
    <row r="32" spans="1:15">
      <c r="A32" s="1217" t="s">
        <v>712</v>
      </c>
      <c r="B32" s="1217" t="s">
        <v>713</v>
      </c>
      <c r="C32" s="1218" t="s">
        <v>714</v>
      </c>
      <c r="D32" s="1218" t="s">
        <v>715</v>
      </c>
      <c r="E32" s="1217" t="s">
        <v>716</v>
      </c>
      <c r="F32" s="1217" t="s">
        <v>717</v>
      </c>
      <c r="G32" s="1217" t="s">
        <v>910</v>
      </c>
      <c r="H32" s="1217" t="s">
        <v>718</v>
      </c>
      <c r="I32" s="1219" t="s">
        <v>718</v>
      </c>
      <c r="J32" s="1217" t="s">
        <v>911</v>
      </c>
      <c r="K32" s="1217" t="s">
        <v>912</v>
      </c>
      <c r="L32" s="1220" t="s">
        <v>913</v>
      </c>
      <c r="M32" s="1220" t="s">
        <v>478</v>
      </c>
      <c r="N32" s="1218" t="s">
        <v>914</v>
      </c>
    </row>
    <row r="33" spans="1:20">
      <c r="A33" s="1694" t="s">
        <v>1546</v>
      </c>
      <c r="B33" s="1699">
        <v>45</v>
      </c>
      <c r="C33" s="1698">
        <v>43472</v>
      </c>
      <c r="D33" s="1698">
        <v>43472</v>
      </c>
      <c r="E33" s="1706" t="s">
        <v>1353</v>
      </c>
      <c r="F33" s="1694" t="s">
        <v>719</v>
      </c>
      <c r="G33" s="1701" t="s">
        <v>1354</v>
      </c>
      <c r="H33" s="1713">
        <v>8</v>
      </c>
      <c r="I33" s="1714">
        <v>8</v>
      </c>
      <c r="J33" s="1713"/>
      <c r="K33" s="1694" t="s">
        <v>1355</v>
      </c>
      <c r="L33" s="1697">
        <v>2</v>
      </c>
      <c r="M33" s="1697"/>
      <c r="N33" s="1695">
        <v>43473</v>
      </c>
      <c r="Q33" s="139" t="s">
        <v>327</v>
      </c>
      <c r="R33" s="139" t="s">
        <v>793</v>
      </c>
      <c r="S33" s="1763" t="s">
        <v>1689</v>
      </c>
    </row>
    <row r="34" spans="1:20">
      <c r="A34" s="1694" t="s">
        <v>1547</v>
      </c>
      <c r="B34" s="1699">
        <v>90</v>
      </c>
      <c r="C34" s="1698">
        <v>43472</v>
      </c>
      <c r="D34" s="1698">
        <v>43472</v>
      </c>
      <c r="E34" s="1706" t="s">
        <v>1353</v>
      </c>
      <c r="F34" s="1694" t="s">
        <v>719</v>
      </c>
      <c r="G34" s="1701" t="s">
        <v>1354</v>
      </c>
      <c r="H34" s="1713">
        <v>7</v>
      </c>
      <c r="I34" s="1714">
        <v>7</v>
      </c>
      <c r="J34" s="1713"/>
      <c r="K34" s="1694" t="s">
        <v>1355</v>
      </c>
      <c r="L34" s="1697">
        <v>2</v>
      </c>
      <c r="M34" s="1697"/>
      <c r="N34" s="1695">
        <v>43473</v>
      </c>
      <c r="P34" s="1405">
        <v>43472</v>
      </c>
      <c r="Q34" s="1766">
        <v>8</v>
      </c>
      <c r="R34" s="1681">
        <v>7</v>
      </c>
      <c r="T34" t="s">
        <v>64</v>
      </c>
    </row>
    <row r="35" spans="1:20">
      <c r="A35" s="435" t="s">
        <v>1555</v>
      </c>
      <c r="B35" s="60">
        <v>45</v>
      </c>
      <c r="C35" s="92">
        <v>43507</v>
      </c>
      <c r="D35" s="92">
        <v>43507</v>
      </c>
      <c r="E35" s="228" t="s">
        <v>1353</v>
      </c>
      <c r="F35" s="435" t="s">
        <v>719</v>
      </c>
      <c r="G35" s="1394" t="s">
        <v>1354</v>
      </c>
      <c r="H35" s="227">
        <v>4</v>
      </c>
      <c r="I35" s="228">
        <v>4</v>
      </c>
      <c r="J35" s="227"/>
      <c r="K35" s="435" t="s">
        <v>1355</v>
      </c>
      <c r="L35" s="174">
        <v>2</v>
      </c>
      <c r="M35" s="174"/>
      <c r="N35" s="175">
        <v>43508</v>
      </c>
      <c r="P35" s="1405">
        <v>43507</v>
      </c>
      <c r="Q35" s="1764">
        <v>4</v>
      </c>
      <c r="R35" s="227">
        <v>2</v>
      </c>
      <c r="S35" s="227">
        <v>4</v>
      </c>
      <c r="T35" t="s">
        <v>65</v>
      </c>
    </row>
    <row r="36" spans="1:20">
      <c r="A36" s="435" t="s">
        <v>1556</v>
      </c>
      <c r="B36" s="60">
        <v>90</v>
      </c>
      <c r="C36" s="92">
        <v>43507</v>
      </c>
      <c r="D36" s="92">
        <v>43507</v>
      </c>
      <c r="E36" s="228" t="s">
        <v>1353</v>
      </c>
      <c r="F36" s="435" t="s">
        <v>719</v>
      </c>
      <c r="G36" s="1394" t="s">
        <v>1354</v>
      </c>
      <c r="H36" s="227">
        <v>2</v>
      </c>
      <c r="I36" s="228"/>
      <c r="J36" s="227" t="s">
        <v>919</v>
      </c>
      <c r="K36" s="435" t="s">
        <v>1355</v>
      </c>
      <c r="L36" s="174">
        <v>2</v>
      </c>
      <c r="M36" s="174"/>
      <c r="N36" s="175">
        <v>43508</v>
      </c>
      <c r="P36" s="1405">
        <v>43545</v>
      </c>
      <c r="Q36" s="1765">
        <v>2</v>
      </c>
      <c r="R36" s="1713">
        <v>4</v>
      </c>
      <c r="S36" s="1713">
        <v>13</v>
      </c>
      <c r="T36" t="s">
        <v>66</v>
      </c>
    </row>
    <row r="37" spans="1:20">
      <c r="A37" s="435" t="s">
        <v>1566</v>
      </c>
      <c r="B37" s="60" t="s">
        <v>1567</v>
      </c>
      <c r="C37" s="92">
        <v>43507</v>
      </c>
      <c r="D37" s="92">
        <v>43507</v>
      </c>
      <c r="E37" s="228" t="s">
        <v>1353</v>
      </c>
      <c r="F37" s="435" t="s">
        <v>719</v>
      </c>
      <c r="G37" s="1394" t="s">
        <v>1354</v>
      </c>
      <c r="H37" s="227">
        <v>4</v>
      </c>
      <c r="I37" s="228">
        <v>4</v>
      </c>
      <c r="J37" s="227"/>
      <c r="K37" s="435" t="s">
        <v>1355</v>
      </c>
      <c r="L37" s="174">
        <v>2</v>
      </c>
      <c r="M37" s="174"/>
      <c r="N37" s="175">
        <v>43508</v>
      </c>
      <c r="P37" s="1405">
        <v>43563</v>
      </c>
      <c r="Q37" s="1765">
        <v>2</v>
      </c>
      <c r="R37" s="1713">
        <v>4</v>
      </c>
      <c r="S37" s="1713">
        <v>4</v>
      </c>
      <c r="T37" t="s">
        <v>67</v>
      </c>
    </row>
    <row r="38" spans="1:20">
      <c r="A38" s="1694" t="s">
        <v>1570</v>
      </c>
      <c r="B38" s="1699">
        <v>45</v>
      </c>
      <c r="C38" s="1698">
        <v>43545</v>
      </c>
      <c r="D38" s="1698">
        <v>43545</v>
      </c>
      <c r="E38" s="1706" t="s">
        <v>1353</v>
      </c>
      <c r="F38" s="1694" t="s">
        <v>719</v>
      </c>
      <c r="G38" s="1701" t="s">
        <v>1354</v>
      </c>
      <c r="H38" s="1713">
        <v>2</v>
      </c>
      <c r="I38" s="1714"/>
      <c r="J38" s="1713" t="s">
        <v>919</v>
      </c>
      <c r="K38" s="1694" t="s">
        <v>1355</v>
      </c>
      <c r="L38" s="1697">
        <v>2</v>
      </c>
      <c r="M38" s="1697"/>
      <c r="N38" s="1695">
        <v>43546</v>
      </c>
      <c r="P38" s="1405">
        <v>43591</v>
      </c>
      <c r="Q38" s="1765">
        <v>2</v>
      </c>
      <c r="R38" s="1713">
        <v>13</v>
      </c>
      <c r="S38" s="1713">
        <v>8</v>
      </c>
      <c r="T38" t="s">
        <v>68</v>
      </c>
    </row>
    <row r="39" spans="1:20">
      <c r="A39" s="1694" t="s">
        <v>1571</v>
      </c>
      <c r="B39" s="1699">
        <v>90</v>
      </c>
      <c r="C39" s="1698">
        <v>43545</v>
      </c>
      <c r="D39" s="1698">
        <v>43545</v>
      </c>
      <c r="E39" s="1706" t="s">
        <v>1353</v>
      </c>
      <c r="F39" s="1694" t="s">
        <v>719</v>
      </c>
      <c r="G39" s="1701" t="s">
        <v>1354</v>
      </c>
      <c r="H39" s="1713">
        <v>4</v>
      </c>
      <c r="I39" s="1714">
        <v>4</v>
      </c>
      <c r="J39" s="1713"/>
      <c r="K39" s="1694" t="s">
        <v>1355</v>
      </c>
      <c r="L39" s="1697">
        <v>2</v>
      </c>
      <c r="M39" s="1697"/>
      <c r="N39" s="1695">
        <v>43546</v>
      </c>
      <c r="P39" s="1405">
        <v>43626</v>
      </c>
      <c r="Q39" s="1765">
        <v>4</v>
      </c>
      <c r="R39" s="1713">
        <v>23</v>
      </c>
      <c r="S39" s="1713">
        <v>50</v>
      </c>
      <c r="T39" t="s">
        <v>69</v>
      </c>
    </row>
    <row r="40" spans="1:20">
      <c r="A40" s="1694" t="s">
        <v>1577</v>
      </c>
      <c r="B40" s="1699" t="s">
        <v>1567</v>
      </c>
      <c r="C40" s="1698">
        <v>43545</v>
      </c>
      <c r="D40" s="1698">
        <v>43545</v>
      </c>
      <c r="E40" s="1706" t="s">
        <v>1353</v>
      </c>
      <c r="F40" s="1694" t="s">
        <v>719</v>
      </c>
      <c r="G40" s="1701" t="s">
        <v>1354</v>
      </c>
      <c r="H40" s="1713">
        <v>13</v>
      </c>
      <c r="I40" s="1714">
        <v>13</v>
      </c>
      <c r="J40" s="1713"/>
      <c r="K40" s="1694" t="s">
        <v>1355</v>
      </c>
      <c r="L40" s="1697">
        <v>2</v>
      </c>
      <c r="M40" s="1697"/>
      <c r="N40" s="1695">
        <v>43546</v>
      </c>
      <c r="P40" s="1405">
        <v>43654</v>
      </c>
      <c r="Q40" s="1765">
        <v>4</v>
      </c>
      <c r="R40" s="1713">
        <v>23</v>
      </c>
      <c r="S40" s="1713">
        <v>50</v>
      </c>
      <c r="T40" t="s">
        <v>70</v>
      </c>
    </row>
    <row r="41" spans="1:20">
      <c r="A41" s="1694" t="s">
        <v>1580</v>
      </c>
      <c r="B41" s="1699">
        <v>45</v>
      </c>
      <c r="C41" s="1698">
        <v>43563</v>
      </c>
      <c r="D41" s="1698">
        <v>43563</v>
      </c>
      <c r="E41" s="1706" t="s">
        <v>1353</v>
      </c>
      <c r="F41" s="1694" t="s">
        <v>719</v>
      </c>
      <c r="G41" s="1701" t="s">
        <v>1354</v>
      </c>
      <c r="H41" s="1713">
        <v>2</v>
      </c>
      <c r="I41" s="1714"/>
      <c r="J41" s="1713" t="s">
        <v>919</v>
      </c>
      <c r="K41" s="1694" t="s">
        <v>1355</v>
      </c>
      <c r="L41" s="1697">
        <v>2</v>
      </c>
      <c r="M41" s="1697"/>
      <c r="N41" s="1695">
        <v>43564</v>
      </c>
      <c r="P41" s="1405">
        <v>43682</v>
      </c>
      <c r="Q41" s="1765">
        <v>2</v>
      </c>
      <c r="R41" s="1713">
        <v>23</v>
      </c>
      <c r="S41" s="1713">
        <v>23</v>
      </c>
      <c r="T41" t="s">
        <v>71</v>
      </c>
    </row>
    <row r="42" spans="1:20">
      <c r="A42" s="1694" t="s">
        <v>1581</v>
      </c>
      <c r="B42" s="1699">
        <v>90</v>
      </c>
      <c r="C42" s="1698">
        <v>43563</v>
      </c>
      <c r="D42" s="1698">
        <v>43563</v>
      </c>
      <c r="E42" s="1706" t="s">
        <v>1353</v>
      </c>
      <c r="F42" s="1694" t="s">
        <v>719</v>
      </c>
      <c r="G42" s="1701" t="s">
        <v>1354</v>
      </c>
      <c r="H42" s="1713">
        <v>4</v>
      </c>
      <c r="I42" s="1714">
        <v>4</v>
      </c>
      <c r="J42" s="1713"/>
      <c r="K42" s="1694" t="s">
        <v>1355</v>
      </c>
      <c r="L42" s="1697">
        <v>2</v>
      </c>
      <c r="M42" s="1697"/>
      <c r="N42" s="1695">
        <v>43564</v>
      </c>
      <c r="P42" s="1405">
        <v>43717</v>
      </c>
      <c r="Q42" s="1765">
        <v>2</v>
      </c>
      <c r="R42" s="1713">
        <v>240</v>
      </c>
      <c r="S42" s="1713">
        <v>30</v>
      </c>
      <c r="T42" t="s">
        <v>72</v>
      </c>
    </row>
    <row r="43" spans="1:20">
      <c r="A43" s="1694" t="s">
        <v>1589</v>
      </c>
      <c r="B43" s="1699" t="s">
        <v>1567</v>
      </c>
      <c r="C43" s="1698">
        <v>43563</v>
      </c>
      <c r="D43" s="1698">
        <v>43563</v>
      </c>
      <c r="E43" s="1706" t="s">
        <v>1353</v>
      </c>
      <c r="F43" s="1694" t="s">
        <v>719</v>
      </c>
      <c r="G43" s="1701" t="s">
        <v>1354</v>
      </c>
      <c r="H43" s="1713">
        <v>4</v>
      </c>
      <c r="I43" s="1714">
        <v>4</v>
      </c>
      <c r="J43" s="1713"/>
      <c r="K43" s="1694" t="s">
        <v>1355</v>
      </c>
      <c r="L43" s="1697">
        <v>2</v>
      </c>
      <c r="M43" s="1697"/>
      <c r="N43" s="1695">
        <v>43564</v>
      </c>
      <c r="P43" s="1405">
        <v>43752</v>
      </c>
      <c r="Q43" s="1765">
        <v>2</v>
      </c>
      <c r="R43" s="1713">
        <v>30</v>
      </c>
      <c r="S43" s="1713">
        <v>23</v>
      </c>
      <c r="T43" t="s">
        <v>73</v>
      </c>
    </row>
    <row r="44" spans="1:20">
      <c r="A44" s="1694" t="s">
        <v>1592</v>
      </c>
      <c r="B44" s="1699">
        <v>45</v>
      </c>
      <c r="C44" s="1698">
        <v>43591</v>
      </c>
      <c r="D44" s="1698">
        <v>43591</v>
      </c>
      <c r="E44" s="1706" t="s">
        <v>1353</v>
      </c>
      <c r="F44" s="1694" t="s">
        <v>719</v>
      </c>
      <c r="G44" s="1701" t="s">
        <v>1354</v>
      </c>
      <c r="H44" s="1713">
        <v>2</v>
      </c>
      <c r="I44" s="1714"/>
      <c r="J44" s="1713" t="s">
        <v>919</v>
      </c>
      <c r="K44" s="1694" t="s">
        <v>1355</v>
      </c>
      <c r="L44" s="1697">
        <v>2</v>
      </c>
      <c r="M44" s="1697"/>
      <c r="N44" s="1695">
        <v>43592</v>
      </c>
      <c r="P44" s="1405">
        <v>43783</v>
      </c>
      <c r="Q44" s="1765">
        <v>2</v>
      </c>
      <c r="R44" s="1713">
        <v>4</v>
      </c>
      <c r="S44" s="1713">
        <v>2</v>
      </c>
      <c r="T44" t="s">
        <v>74</v>
      </c>
    </row>
    <row r="45" spans="1:20">
      <c r="A45" s="1694" t="s">
        <v>1593</v>
      </c>
      <c r="B45" s="1699">
        <v>90</v>
      </c>
      <c r="C45" s="1698">
        <v>43591</v>
      </c>
      <c r="D45" s="1698">
        <v>43591</v>
      </c>
      <c r="E45" s="1706" t="s">
        <v>1353</v>
      </c>
      <c r="F45" s="1694" t="s">
        <v>719</v>
      </c>
      <c r="G45" s="1701" t="s">
        <v>1354</v>
      </c>
      <c r="H45" s="1713">
        <v>13</v>
      </c>
      <c r="I45" s="1714">
        <v>13</v>
      </c>
      <c r="J45" s="1713"/>
      <c r="K45" s="1694" t="s">
        <v>1355</v>
      </c>
      <c r="L45" s="1697">
        <v>2</v>
      </c>
      <c r="M45" s="1697"/>
      <c r="N45" s="1695">
        <v>43592</v>
      </c>
      <c r="P45" s="1405">
        <v>43808</v>
      </c>
      <c r="Q45" s="1765">
        <v>2</v>
      </c>
      <c r="R45" s="1713">
        <v>13</v>
      </c>
      <c r="S45" s="1713">
        <v>2</v>
      </c>
      <c r="T45" t="s">
        <v>75</v>
      </c>
    </row>
    <row r="46" spans="1:20">
      <c r="A46" s="1694" t="s">
        <v>1599</v>
      </c>
      <c r="B46" s="1699" t="s">
        <v>1567</v>
      </c>
      <c r="C46" s="1698">
        <v>43591</v>
      </c>
      <c r="D46" s="1698">
        <v>43591</v>
      </c>
      <c r="E46" s="1706" t="s">
        <v>1353</v>
      </c>
      <c r="F46" s="1694" t="s">
        <v>719</v>
      </c>
      <c r="G46" s="1701" t="s">
        <v>1354</v>
      </c>
      <c r="H46" s="1713">
        <v>8</v>
      </c>
      <c r="I46" s="1714">
        <v>8</v>
      </c>
      <c r="J46" s="1713"/>
      <c r="K46" s="1694" t="s">
        <v>1355</v>
      </c>
      <c r="L46" s="1697">
        <v>2</v>
      </c>
      <c r="M46" s="1697"/>
      <c r="N46" s="1695">
        <v>43592</v>
      </c>
      <c r="P46" s="45"/>
    </row>
    <row r="47" spans="1:20">
      <c r="A47" s="1694" t="s">
        <v>1602</v>
      </c>
      <c r="B47" s="1699">
        <v>45</v>
      </c>
      <c r="C47" s="1698">
        <v>43626</v>
      </c>
      <c r="D47" s="1698">
        <v>43626</v>
      </c>
      <c r="E47" s="1706" t="s">
        <v>1353</v>
      </c>
      <c r="F47" s="1694" t="s">
        <v>719</v>
      </c>
      <c r="G47" s="1701" t="s">
        <v>1354</v>
      </c>
      <c r="H47" s="1713">
        <v>4</v>
      </c>
      <c r="I47" s="1714">
        <v>4</v>
      </c>
      <c r="J47" s="1713"/>
      <c r="K47" s="1694" t="s">
        <v>1355</v>
      </c>
      <c r="L47" s="1697">
        <v>2</v>
      </c>
      <c r="M47" s="1697"/>
      <c r="N47" s="1695">
        <v>43627</v>
      </c>
    </row>
    <row r="48" spans="1:20">
      <c r="A48" s="1694" t="s">
        <v>1603</v>
      </c>
      <c r="B48" s="1699">
        <v>90</v>
      </c>
      <c r="C48" s="1698">
        <v>43626</v>
      </c>
      <c r="D48" s="1698">
        <v>43626</v>
      </c>
      <c r="E48" s="1706" t="s">
        <v>1353</v>
      </c>
      <c r="F48" s="1694" t="s">
        <v>719</v>
      </c>
      <c r="G48" s="1701" t="s">
        <v>1354</v>
      </c>
      <c r="H48" s="1713">
        <v>23</v>
      </c>
      <c r="I48" s="1714">
        <v>23</v>
      </c>
      <c r="J48" s="1713"/>
      <c r="K48" s="1694" t="s">
        <v>1355</v>
      </c>
      <c r="L48" s="1697">
        <v>2</v>
      </c>
      <c r="M48" s="1697"/>
      <c r="N48" s="1695">
        <v>43627</v>
      </c>
    </row>
    <row r="49" spans="1:14">
      <c r="A49" s="1694" t="s">
        <v>1611</v>
      </c>
      <c r="B49" s="1699" t="s">
        <v>1567</v>
      </c>
      <c r="C49" s="1698">
        <v>43626</v>
      </c>
      <c r="D49" s="1698">
        <v>43626</v>
      </c>
      <c r="E49" s="1706" t="s">
        <v>1353</v>
      </c>
      <c r="F49" s="1694" t="s">
        <v>719</v>
      </c>
      <c r="G49" s="1701" t="s">
        <v>1354</v>
      </c>
      <c r="H49" s="1713">
        <v>50</v>
      </c>
      <c r="I49" s="1714">
        <v>50</v>
      </c>
      <c r="J49" s="1713"/>
      <c r="K49" s="1694" t="s">
        <v>1355</v>
      </c>
      <c r="L49" s="1697">
        <v>2</v>
      </c>
      <c r="M49" s="1697"/>
      <c r="N49" s="1695">
        <v>43627</v>
      </c>
    </row>
    <row r="50" spans="1:14">
      <c r="A50" s="1694" t="s">
        <v>1620</v>
      </c>
      <c r="B50" s="1699">
        <v>45</v>
      </c>
      <c r="C50" s="1698">
        <v>43654</v>
      </c>
      <c r="D50" s="1698">
        <v>43654</v>
      </c>
      <c r="E50" s="1706" t="s">
        <v>1353</v>
      </c>
      <c r="F50" s="1694" t="s">
        <v>719</v>
      </c>
      <c r="G50" s="1701" t="s">
        <v>1354</v>
      </c>
      <c r="H50" s="1713">
        <v>4</v>
      </c>
      <c r="I50" s="1702">
        <v>4</v>
      </c>
      <c r="J50" s="1713"/>
      <c r="K50" s="1694" t="s">
        <v>1355</v>
      </c>
      <c r="L50" s="1697">
        <v>2</v>
      </c>
      <c r="M50" s="1697"/>
      <c r="N50" s="1695">
        <v>43655</v>
      </c>
    </row>
    <row r="51" spans="1:14">
      <c r="A51" s="1694" t="s">
        <v>1621</v>
      </c>
      <c r="B51" s="1699">
        <v>90</v>
      </c>
      <c r="C51" s="1698">
        <v>43654</v>
      </c>
      <c r="D51" s="1698">
        <v>43654</v>
      </c>
      <c r="E51" s="1706" t="s">
        <v>1353</v>
      </c>
      <c r="F51" s="1694" t="s">
        <v>719</v>
      </c>
      <c r="G51" s="1701" t="s">
        <v>1354</v>
      </c>
      <c r="H51" s="1713">
        <v>23</v>
      </c>
      <c r="I51" s="1714">
        <v>23</v>
      </c>
      <c r="J51" s="1713"/>
      <c r="K51" s="1694" t="s">
        <v>1355</v>
      </c>
      <c r="L51" s="1697">
        <v>2</v>
      </c>
      <c r="M51" s="1697"/>
      <c r="N51" s="1695">
        <v>43655</v>
      </c>
    </row>
    <row r="52" spans="1:14">
      <c r="A52" s="1694" t="s">
        <v>1624</v>
      </c>
      <c r="B52" s="1699" t="s">
        <v>1567</v>
      </c>
      <c r="C52" s="1698">
        <v>43654</v>
      </c>
      <c r="D52" s="1698">
        <v>43654</v>
      </c>
      <c r="E52" s="1706" t="s">
        <v>1353</v>
      </c>
      <c r="F52" s="1694" t="s">
        <v>719</v>
      </c>
      <c r="G52" s="1701" t="s">
        <v>1354</v>
      </c>
      <c r="H52" s="1713">
        <v>50</v>
      </c>
      <c r="I52" s="1714">
        <v>50</v>
      </c>
      <c r="J52" s="1713"/>
      <c r="K52" s="1694" t="s">
        <v>1355</v>
      </c>
      <c r="L52" s="1697">
        <v>2</v>
      </c>
      <c r="M52" s="1697"/>
      <c r="N52" s="1695">
        <v>43655</v>
      </c>
    </row>
    <row r="53" spans="1:14">
      <c r="A53" s="1694" t="s">
        <v>1627</v>
      </c>
      <c r="B53" s="1699">
        <v>45</v>
      </c>
      <c r="C53" s="1698">
        <v>43682</v>
      </c>
      <c r="D53" s="1698">
        <v>43682</v>
      </c>
      <c r="E53" s="1706" t="s">
        <v>1353</v>
      </c>
      <c r="F53" s="1694" t="s">
        <v>719</v>
      </c>
      <c r="G53" s="1701" t="s">
        <v>1354</v>
      </c>
      <c r="H53" s="1713">
        <v>2</v>
      </c>
      <c r="I53" s="1702"/>
      <c r="J53" s="1713" t="s">
        <v>919</v>
      </c>
      <c r="K53" s="1694" t="s">
        <v>1355</v>
      </c>
      <c r="L53" s="1697">
        <v>2</v>
      </c>
      <c r="M53" s="1697"/>
      <c r="N53" s="1695">
        <v>43683</v>
      </c>
    </row>
    <row r="54" spans="1:14">
      <c r="A54" s="1694" t="s">
        <v>1628</v>
      </c>
      <c r="B54" s="1699">
        <v>90</v>
      </c>
      <c r="C54" s="1698">
        <v>43682</v>
      </c>
      <c r="D54" s="1698">
        <v>43682</v>
      </c>
      <c r="E54" s="1706" t="s">
        <v>1353</v>
      </c>
      <c r="F54" s="1694" t="s">
        <v>719</v>
      </c>
      <c r="G54" s="1701" t="s">
        <v>1354</v>
      </c>
      <c r="H54" s="1713">
        <v>23</v>
      </c>
      <c r="I54" s="1714">
        <v>23</v>
      </c>
      <c r="J54" s="1713"/>
      <c r="K54" s="1694" t="s">
        <v>1355</v>
      </c>
      <c r="L54" s="1697">
        <v>2</v>
      </c>
      <c r="M54" s="1697"/>
      <c r="N54" s="1695">
        <v>43683</v>
      </c>
    </row>
    <row r="55" spans="1:14">
      <c r="A55" s="1694" t="s">
        <v>1633</v>
      </c>
      <c r="B55" s="1699" t="s">
        <v>1567</v>
      </c>
      <c r="C55" s="1698">
        <v>43682</v>
      </c>
      <c r="D55" s="1698">
        <v>43682</v>
      </c>
      <c r="E55" s="1706" t="s">
        <v>1353</v>
      </c>
      <c r="F55" s="1694" t="s">
        <v>719</v>
      </c>
      <c r="G55" s="1701" t="s">
        <v>1354</v>
      </c>
      <c r="H55" s="1713">
        <v>23</v>
      </c>
      <c r="I55" s="1702">
        <v>23</v>
      </c>
      <c r="J55" s="1713"/>
      <c r="K55" s="1694" t="s">
        <v>1355</v>
      </c>
      <c r="L55" s="1697">
        <v>2</v>
      </c>
      <c r="M55" s="1697"/>
      <c r="N55" s="1695">
        <v>43683</v>
      </c>
    </row>
    <row r="56" spans="1:14">
      <c r="A56" s="1694" t="s">
        <v>1636</v>
      </c>
      <c r="B56" s="1699">
        <v>45</v>
      </c>
      <c r="C56" s="1698">
        <v>43717</v>
      </c>
      <c r="D56" s="1698">
        <v>43717</v>
      </c>
      <c r="E56" s="1706" t="s">
        <v>1353</v>
      </c>
      <c r="F56" s="1694" t="s">
        <v>719</v>
      </c>
      <c r="G56" s="1701" t="s">
        <v>1354</v>
      </c>
      <c r="H56" s="1713">
        <v>2</v>
      </c>
      <c r="I56" s="1714"/>
      <c r="J56" s="1713" t="s">
        <v>919</v>
      </c>
      <c r="K56" s="1694" t="s">
        <v>1355</v>
      </c>
      <c r="L56" s="1697">
        <v>2</v>
      </c>
      <c r="M56" s="1697"/>
      <c r="N56" s="1695">
        <v>43718</v>
      </c>
    </row>
    <row r="57" spans="1:14">
      <c r="A57" s="1694" t="s">
        <v>1571</v>
      </c>
      <c r="B57" s="1699">
        <v>90</v>
      </c>
      <c r="C57" s="1698">
        <v>43717</v>
      </c>
      <c r="D57" s="1698">
        <v>43717</v>
      </c>
      <c r="E57" s="1706" t="s">
        <v>1353</v>
      </c>
      <c r="F57" s="1694" t="s">
        <v>719</v>
      </c>
      <c r="G57" s="1701" t="s">
        <v>1354</v>
      </c>
      <c r="H57" s="1713">
        <v>240</v>
      </c>
      <c r="I57" s="1714">
        <v>240</v>
      </c>
      <c r="J57" s="1713"/>
      <c r="K57" s="1694" t="s">
        <v>1355</v>
      </c>
      <c r="L57" s="1697">
        <v>2</v>
      </c>
      <c r="M57" s="1697"/>
      <c r="N57" s="1695">
        <v>43718</v>
      </c>
    </row>
    <row r="58" spans="1:14">
      <c r="A58" s="1694" t="s">
        <v>1640</v>
      </c>
      <c r="B58" s="1699" t="s">
        <v>1567</v>
      </c>
      <c r="C58" s="1698">
        <v>43717</v>
      </c>
      <c r="D58" s="1698">
        <v>43717</v>
      </c>
      <c r="E58" s="1706" t="s">
        <v>1353</v>
      </c>
      <c r="F58" s="1694" t="s">
        <v>719</v>
      </c>
      <c r="G58" s="1701" t="s">
        <v>1354</v>
      </c>
      <c r="H58" s="1713">
        <v>30</v>
      </c>
      <c r="I58" s="1714">
        <v>30</v>
      </c>
      <c r="J58" s="1713"/>
      <c r="K58" s="1694" t="s">
        <v>1355</v>
      </c>
      <c r="L58" s="1697">
        <v>2</v>
      </c>
      <c r="M58" s="1697"/>
      <c r="N58" s="1695">
        <v>43718</v>
      </c>
    </row>
    <row r="59" spans="1:14">
      <c r="A59" s="1694" t="s">
        <v>1651</v>
      </c>
      <c r="B59" s="1699">
        <v>45</v>
      </c>
      <c r="C59" s="1698">
        <v>43752</v>
      </c>
      <c r="D59" s="1698">
        <v>43752</v>
      </c>
      <c r="E59" s="1706" t="s">
        <v>1353</v>
      </c>
      <c r="F59" s="1694" t="s">
        <v>719</v>
      </c>
      <c r="G59" s="1701" t="s">
        <v>1354</v>
      </c>
      <c r="H59" s="1713">
        <v>2</v>
      </c>
      <c r="I59" s="1702"/>
      <c r="J59" s="1713" t="s">
        <v>919</v>
      </c>
      <c r="K59" s="1694" t="s">
        <v>1355</v>
      </c>
      <c r="L59" s="1697">
        <v>2</v>
      </c>
      <c r="M59" s="1697"/>
      <c r="N59" s="1695">
        <v>43753</v>
      </c>
    </row>
    <row r="60" spans="1:14">
      <c r="A60" s="1694" t="s">
        <v>1652</v>
      </c>
      <c r="B60" s="1699">
        <v>90</v>
      </c>
      <c r="C60" s="1698">
        <v>43752</v>
      </c>
      <c r="D60" s="1698">
        <v>43752</v>
      </c>
      <c r="E60" s="1706" t="s">
        <v>1353</v>
      </c>
      <c r="F60" s="1694" t="s">
        <v>719</v>
      </c>
      <c r="G60" s="1701" t="s">
        <v>1354</v>
      </c>
      <c r="H60" s="1713">
        <v>30</v>
      </c>
      <c r="I60" s="1714">
        <v>30</v>
      </c>
      <c r="J60" s="1713"/>
      <c r="K60" s="1694" t="s">
        <v>1355</v>
      </c>
      <c r="L60" s="1697">
        <v>2</v>
      </c>
      <c r="M60" s="1697"/>
      <c r="N60" s="1695">
        <v>43753</v>
      </c>
    </row>
    <row r="61" spans="1:14">
      <c r="A61" s="1694" t="s">
        <v>1657</v>
      </c>
      <c r="B61" s="1699" t="s">
        <v>1567</v>
      </c>
      <c r="C61" s="1698">
        <v>43752</v>
      </c>
      <c r="D61" s="1698">
        <v>43752</v>
      </c>
      <c r="E61" s="1706" t="s">
        <v>1353</v>
      </c>
      <c r="F61" s="1694" t="s">
        <v>719</v>
      </c>
      <c r="G61" s="1701" t="s">
        <v>1354</v>
      </c>
      <c r="H61" s="1713">
        <v>23</v>
      </c>
      <c r="I61" s="1702">
        <v>23</v>
      </c>
      <c r="J61" s="1713"/>
      <c r="K61" s="1694" t="s">
        <v>1355</v>
      </c>
      <c r="L61" s="1697">
        <v>2</v>
      </c>
      <c r="M61" s="1697"/>
      <c r="N61" s="1695">
        <v>43753</v>
      </c>
    </row>
    <row r="62" spans="1:14">
      <c r="A62" s="1694" t="s">
        <v>1660</v>
      </c>
      <c r="B62" s="1699">
        <v>45</v>
      </c>
      <c r="C62" s="1698">
        <v>43783</v>
      </c>
      <c r="D62" s="1698">
        <v>43783</v>
      </c>
      <c r="E62" s="1706" t="s">
        <v>1353</v>
      </c>
      <c r="F62" s="1694" t="s">
        <v>719</v>
      </c>
      <c r="G62" s="1701" t="s">
        <v>1354</v>
      </c>
      <c r="H62" s="1713">
        <v>2</v>
      </c>
      <c r="I62" s="1702">
        <v>2</v>
      </c>
      <c r="J62" s="1713"/>
      <c r="K62" s="1694" t="s">
        <v>1355</v>
      </c>
      <c r="L62" s="1697">
        <v>2</v>
      </c>
      <c r="M62" s="1697"/>
      <c r="N62" s="1695">
        <v>43784</v>
      </c>
    </row>
    <row r="63" spans="1:14">
      <c r="A63" s="1694" t="s">
        <v>1661</v>
      </c>
      <c r="B63" s="1699">
        <v>90</v>
      </c>
      <c r="C63" s="1698">
        <v>43783</v>
      </c>
      <c r="D63" s="1698">
        <v>43783</v>
      </c>
      <c r="E63" s="1706" t="s">
        <v>1353</v>
      </c>
      <c r="F63" s="1694" t="s">
        <v>719</v>
      </c>
      <c r="G63" s="1701" t="s">
        <v>1354</v>
      </c>
      <c r="H63" s="1713">
        <v>4</v>
      </c>
      <c r="I63" s="1714">
        <v>4</v>
      </c>
      <c r="J63" s="1713"/>
      <c r="K63" s="1694" t="s">
        <v>1355</v>
      </c>
      <c r="L63" s="1697">
        <v>2</v>
      </c>
      <c r="M63" s="1697"/>
      <c r="N63" s="1695">
        <v>43784</v>
      </c>
    </row>
    <row r="64" spans="1:14">
      <c r="A64" s="1694" t="s">
        <v>1664</v>
      </c>
      <c r="B64" s="1699" t="s">
        <v>1567</v>
      </c>
      <c r="C64" s="1698">
        <v>43783</v>
      </c>
      <c r="D64" s="1698">
        <v>43783</v>
      </c>
      <c r="E64" s="1706" t="s">
        <v>1353</v>
      </c>
      <c r="F64" s="1694" t="s">
        <v>719</v>
      </c>
      <c r="G64" s="1701" t="s">
        <v>1354</v>
      </c>
      <c r="H64" s="1713">
        <v>2</v>
      </c>
      <c r="I64" s="1702">
        <v>2</v>
      </c>
      <c r="J64" s="1713"/>
      <c r="K64" s="1694" t="s">
        <v>1355</v>
      </c>
      <c r="L64" s="1697">
        <v>2</v>
      </c>
      <c r="M64" s="1697"/>
      <c r="N64" s="1695">
        <v>43784</v>
      </c>
    </row>
    <row r="65" spans="1:14">
      <c r="A65" s="1694" t="s">
        <v>1667</v>
      </c>
      <c r="B65" s="1699">
        <v>45</v>
      </c>
      <c r="C65" s="1698">
        <v>43808</v>
      </c>
      <c r="D65" s="1698">
        <v>43808</v>
      </c>
      <c r="E65" s="1706" t="s">
        <v>1353</v>
      </c>
      <c r="F65" s="1694" t="s">
        <v>719</v>
      </c>
      <c r="G65" s="1701" t="s">
        <v>1354</v>
      </c>
      <c r="H65" s="1713">
        <v>2</v>
      </c>
      <c r="I65" s="1702"/>
      <c r="J65" s="1713" t="s">
        <v>919</v>
      </c>
      <c r="K65" s="1694" t="s">
        <v>1355</v>
      </c>
      <c r="L65" s="1697">
        <v>2</v>
      </c>
      <c r="M65" s="1697"/>
      <c r="N65" s="1695">
        <v>43809</v>
      </c>
    </row>
    <row r="66" spans="1:14">
      <c r="A66" s="1694" t="s">
        <v>1668</v>
      </c>
      <c r="B66" s="1699">
        <v>90</v>
      </c>
      <c r="C66" s="1698">
        <v>43808</v>
      </c>
      <c r="D66" s="1698">
        <v>43808</v>
      </c>
      <c r="E66" s="1706" t="s">
        <v>1353</v>
      </c>
      <c r="F66" s="1694" t="s">
        <v>719</v>
      </c>
      <c r="G66" s="1701" t="s">
        <v>1354</v>
      </c>
      <c r="H66" s="1713">
        <v>13</v>
      </c>
      <c r="I66" s="1714">
        <v>13</v>
      </c>
      <c r="J66" s="1713"/>
      <c r="K66" s="1694" t="s">
        <v>1355</v>
      </c>
      <c r="L66" s="1697">
        <v>2</v>
      </c>
      <c r="M66" s="1697"/>
      <c r="N66" s="1695">
        <v>43809</v>
      </c>
    </row>
    <row r="67" spans="1:14">
      <c r="A67" s="1694" t="s">
        <v>1671</v>
      </c>
      <c r="B67" s="1699" t="s">
        <v>1567</v>
      </c>
      <c r="C67" s="1698">
        <v>43808</v>
      </c>
      <c r="D67" s="1698">
        <v>43808</v>
      </c>
      <c r="E67" s="1706" t="s">
        <v>1353</v>
      </c>
      <c r="F67" s="1694" t="s">
        <v>719</v>
      </c>
      <c r="G67" s="1701" t="s">
        <v>1354</v>
      </c>
      <c r="H67" s="1713">
        <v>2</v>
      </c>
      <c r="I67" s="1702">
        <v>2</v>
      </c>
      <c r="J67" s="1713"/>
      <c r="K67" s="1694" t="s">
        <v>1355</v>
      </c>
      <c r="L67" s="1697">
        <v>2</v>
      </c>
      <c r="M67" s="1697"/>
      <c r="N67" s="1695">
        <v>43809</v>
      </c>
    </row>
    <row r="69" spans="1:14">
      <c r="B69" s="1405"/>
      <c r="C69" s="1405">
        <v>43472</v>
      </c>
      <c r="D69" s="1405">
        <v>43507</v>
      </c>
      <c r="E69" s="1405">
        <v>43545</v>
      </c>
      <c r="F69" s="1405">
        <v>43563</v>
      </c>
      <c r="G69" s="1405">
        <v>43591</v>
      </c>
      <c r="H69" s="1405">
        <v>43626</v>
      </c>
      <c r="I69" s="1405">
        <v>43654</v>
      </c>
      <c r="J69" s="1405">
        <v>43682</v>
      </c>
      <c r="K69" s="1405">
        <v>43717</v>
      </c>
      <c r="L69" s="1405">
        <v>43752</v>
      </c>
      <c r="M69" s="1405">
        <v>43783</v>
      </c>
      <c r="N69" s="1405">
        <v>43808</v>
      </c>
    </row>
    <row r="70" spans="1:14">
      <c r="A70" s="535">
        <v>45</v>
      </c>
      <c r="B70" s="1706" t="s">
        <v>1353</v>
      </c>
      <c r="C70" s="1680">
        <v>8</v>
      </c>
      <c r="D70" s="227">
        <v>4</v>
      </c>
      <c r="E70" s="1713">
        <v>2</v>
      </c>
      <c r="F70" s="1713">
        <v>2</v>
      </c>
      <c r="G70" s="1713">
        <v>2</v>
      </c>
      <c r="H70" s="1713">
        <v>4</v>
      </c>
      <c r="I70" s="1713">
        <v>4</v>
      </c>
      <c r="J70" s="1713">
        <v>2</v>
      </c>
      <c r="K70" s="1713">
        <v>2</v>
      </c>
      <c r="L70" s="1713">
        <v>2</v>
      </c>
      <c r="M70" s="1713">
        <v>2</v>
      </c>
      <c r="N70" s="1713">
        <v>2</v>
      </c>
    </row>
    <row r="71" spans="1:14">
      <c r="A71" s="1398">
        <v>90</v>
      </c>
      <c r="B71" s="1706" t="s">
        <v>1353</v>
      </c>
      <c r="C71" s="1681">
        <v>7</v>
      </c>
      <c r="D71" s="227">
        <v>2</v>
      </c>
      <c r="E71" s="1713">
        <v>4</v>
      </c>
      <c r="F71" s="1713">
        <v>4</v>
      </c>
      <c r="G71" s="1713">
        <v>13</v>
      </c>
      <c r="H71" s="1713">
        <v>23</v>
      </c>
      <c r="I71" s="1713">
        <v>23</v>
      </c>
      <c r="J71" s="1713">
        <v>23</v>
      </c>
      <c r="K71" s="1713">
        <v>240</v>
      </c>
      <c r="L71" s="1713">
        <v>30</v>
      </c>
      <c r="M71" s="1713">
        <v>4</v>
      </c>
      <c r="N71" s="1713">
        <v>13</v>
      </c>
    </row>
    <row r="72" spans="1:14">
      <c r="A72" s="1679" t="s">
        <v>1567</v>
      </c>
      <c r="B72" s="1706" t="s">
        <v>1353</v>
      </c>
      <c r="D72" s="227">
        <v>4</v>
      </c>
      <c r="E72" s="1713">
        <v>13</v>
      </c>
      <c r="F72" s="1713">
        <v>4</v>
      </c>
      <c r="G72" s="1713">
        <v>8</v>
      </c>
      <c r="H72" s="1713">
        <v>50</v>
      </c>
      <c r="I72" s="1713">
        <v>50</v>
      </c>
      <c r="J72" s="1713">
        <v>23</v>
      </c>
      <c r="K72" s="1713">
        <v>30</v>
      </c>
      <c r="L72" s="1713">
        <v>23</v>
      </c>
      <c r="M72" s="1713">
        <v>2</v>
      </c>
      <c r="N72" s="1713">
        <v>2</v>
      </c>
    </row>
  </sheetData>
  <mergeCells count="9">
    <mergeCell ref="H1:J1"/>
    <mergeCell ref="H3:J3"/>
    <mergeCell ref="A2:A3"/>
    <mergeCell ref="B1:C1"/>
    <mergeCell ref="D1:E1"/>
    <mergeCell ref="F1:G1"/>
    <mergeCell ref="F3:G3"/>
    <mergeCell ref="B3:C3"/>
    <mergeCell ref="D3:E3"/>
  </mergeCells>
  <phoneticPr fontId="38" type="noConversion"/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P65"/>
  <sheetViews>
    <sheetView topLeftCell="C1" workbookViewId="0">
      <selection activeCell="E49" sqref="E49:E55"/>
    </sheetView>
  </sheetViews>
  <sheetFormatPr defaultRowHeight="14"/>
  <cols>
    <col min="1" max="1" width="10.54296875" bestFit="1" customWidth="1"/>
    <col min="2" max="2" width="9.36328125" bestFit="1" customWidth="1"/>
    <col min="3" max="3" width="14.6328125" bestFit="1" customWidth="1"/>
    <col min="4" max="4" width="13.453125" bestFit="1" customWidth="1"/>
    <col min="5" max="5" width="14.81640625" bestFit="1" customWidth="1"/>
    <col min="6" max="6" width="7.81640625" bestFit="1" customWidth="1"/>
    <col min="7" max="7" width="16.453125" bestFit="1" customWidth="1"/>
    <col min="8" max="9" width="8.36328125" bestFit="1" customWidth="1"/>
    <col min="10" max="10" width="8.90625" bestFit="1" customWidth="1"/>
    <col min="11" max="11" width="6.453125" bestFit="1" customWidth="1"/>
    <col min="12" max="12" width="4.90625" bestFit="1" customWidth="1"/>
    <col min="13" max="13" width="4.81640625" bestFit="1" customWidth="1"/>
    <col min="14" max="14" width="14.1796875" bestFit="1" customWidth="1"/>
    <col min="16" max="16" width="9.90625" bestFit="1" customWidth="1"/>
    <col min="18" max="18" width="10.08984375" bestFit="1" customWidth="1"/>
  </cols>
  <sheetData>
    <row r="1" spans="1:16" s="243" customFormat="1" ht="13">
      <c r="A1" s="482" t="s">
        <v>712</v>
      </c>
      <c r="B1" s="482" t="s">
        <v>713</v>
      </c>
      <c r="C1" s="484" t="s">
        <v>714</v>
      </c>
      <c r="D1" s="484" t="s">
        <v>715</v>
      </c>
      <c r="E1" s="482" t="s">
        <v>716</v>
      </c>
      <c r="F1" s="482" t="s">
        <v>717</v>
      </c>
      <c r="G1" s="482" t="s">
        <v>910</v>
      </c>
      <c r="H1" s="482" t="s">
        <v>718</v>
      </c>
      <c r="I1" s="485" t="s">
        <v>718</v>
      </c>
      <c r="J1" s="482" t="s">
        <v>911</v>
      </c>
      <c r="K1" s="482" t="s">
        <v>912</v>
      </c>
      <c r="L1" s="483" t="s">
        <v>913</v>
      </c>
      <c r="M1" s="483" t="s">
        <v>478</v>
      </c>
      <c r="N1" s="484" t="s">
        <v>914</v>
      </c>
    </row>
    <row r="2" spans="1:16" s="1975" customFormat="1" ht="12.5">
      <c r="A2" s="2007" t="s">
        <v>1813</v>
      </c>
      <c r="B2" s="2008" t="s">
        <v>915</v>
      </c>
      <c r="C2" s="2001">
        <v>43602</v>
      </c>
      <c r="D2" s="2001">
        <v>43602</v>
      </c>
      <c r="E2" s="2009" t="s">
        <v>177</v>
      </c>
      <c r="F2" s="1998" t="s">
        <v>719</v>
      </c>
      <c r="G2" s="2003" t="s">
        <v>916</v>
      </c>
      <c r="H2" s="2004">
        <v>246</v>
      </c>
      <c r="I2" s="2005">
        <v>246</v>
      </c>
      <c r="J2" s="2004"/>
      <c r="K2" s="2010" t="s">
        <v>917</v>
      </c>
      <c r="L2" s="2000">
        <v>26</v>
      </c>
      <c r="M2" s="2000">
        <v>104</v>
      </c>
      <c r="N2" s="1999">
        <v>43609</v>
      </c>
      <c r="P2" s="2074">
        <v>43602</v>
      </c>
    </row>
    <row r="3" spans="1:16">
      <c r="A3" s="2007" t="s">
        <v>1813</v>
      </c>
      <c r="B3" s="2008" t="s">
        <v>915</v>
      </c>
      <c r="C3" s="2001">
        <v>43602</v>
      </c>
      <c r="D3" s="2001">
        <v>43602</v>
      </c>
      <c r="E3" s="1998" t="s">
        <v>159</v>
      </c>
      <c r="F3" s="1998" t="s">
        <v>719</v>
      </c>
      <c r="G3" s="2003" t="s">
        <v>918</v>
      </c>
      <c r="H3" s="2004">
        <v>12</v>
      </c>
      <c r="I3" s="2005">
        <v>12</v>
      </c>
      <c r="J3" s="2004" t="s">
        <v>926</v>
      </c>
      <c r="K3" s="1998" t="s">
        <v>917</v>
      </c>
      <c r="L3" s="2000">
        <v>6</v>
      </c>
      <c r="M3" s="2000">
        <v>24</v>
      </c>
      <c r="N3" s="2001">
        <v>43609</v>
      </c>
      <c r="O3" s="175"/>
      <c r="P3" s="2074">
        <v>43628</v>
      </c>
    </row>
    <row r="4" spans="1:16">
      <c r="A4" s="2007" t="s">
        <v>1813</v>
      </c>
      <c r="B4" s="2002" t="s">
        <v>915</v>
      </c>
      <c r="C4" s="2001">
        <v>43602</v>
      </c>
      <c r="D4" s="2001">
        <v>43602</v>
      </c>
      <c r="E4" s="2009" t="s">
        <v>160</v>
      </c>
      <c r="F4" s="2007" t="s">
        <v>719</v>
      </c>
      <c r="G4" s="2011" t="s">
        <v>921</v>
      </c>
      <c r="H4" s="2012">
        <v>4.4000000000000004</v>
      </c>
      <c r="I4" s="2014">
        <v>4.4000000000000004</v>
      </c>
      <c r="J4" s="2006"/>
      <c r="K4" s="1998" t="s">
        <v>917</v>
      </c>
      <c r="L4" s="2013">
        <v>0.1</v>
      </c>
      <c r="M4" s="2013"/>
      <c r="N4" s="1999">
        <v>43615</v>
      </c>
      <c r="O4" s="175"/>
      <c r="P4" s="2074">
        <v>43655</v>
      </c>
    </row>
    <row r="5" spans="1:16">
      <c r="A5" s="2007" t="s">
        <v>1813</v>
      </c>
      <c r="B5" s="2002" t="s">
        <v>915</v>
      </c>
      <c r="C5" s="2001">
        <v>43602</v>
      </c>
      <c r="D5" s="2001">
        <v>43602</v>
      </c>
      <c r="E5" s="2009" t="s">
        <v>160</v>
      </c>
      <c r="F5" s="2007" t="s">
        <v>719</v>
      </c>
      <c r="G5" s="2011" t="s">
        <v>921</v>
      </c>
      <c r="H5" s="2012">
        <v>5</v>
      </c>
      <c r="I5" s="2014">
        <v>5</v>
      </c>
      <c r="J5" s="2006"/>
      <c r="K5" s="1998" t="s">
        <v>917</v>
      </c>
      <c r="L5" s="2013">
        <v>0.1</v>
      </c>
      <c r="M5" s="2013"/>
      <c r="N5" s="1999">
        <v>43615</v>
      </c>
      <c r="O5" s="175"/>
      <c r="P5" s="2074">
        <v>43691</v>
      </c>
    </row>
    <row r="6" spans="1:16">
      <c r="A6" s="2025" t="s">
        <v>1815</v>
      </c>
      <c r="B6" s="2026" t="s">
        <v>915</v>
      </c>
      <c r="C6" s="2019">
        <v>43628</v>
      </c>
      <c r="D6" s="2019">
        <v>43628</v>
      </c>
      <c r="E6" s="2027" t="s">
        <v>177</v>
      </c>
      <c r="F6" s="2016" t="s">
        <v>719</v>
      </c>
      <c r="G6" s="2021" t="s">
        <v>916</v>
      </c>
      <c r="H6" s="2022">
        <v>319</v>
      </c>
      <c r="I6" s="2023">
        <v>319</v>
      </c>
      <c r="J6" s="2022"/>
      <c r="K6" s="2028" t="s">
        <v>917</v>
      </c>
      <c r="L6" s="2018">
        <v>26</v>
      </c>
      <c r="M6" s="2018">
        <v>104</v>
      </c>
      <c r="N6" s="2017">
        <v>43644</v>
      </c>
      <c r="O6" s="175"/>
      <c r="P6" s="2074">
        <v>43719</v>
      </c>
    </row>
    <row r="7" spans="1:16">
      <c r="A7" s="2025" t="s">
        <v>1815</v>
      </c>
      <c r="B7" s="2026" t="s">
        <v>915</v>
      </c>
      <c r="C7" s="2019">
        <v>43628</v>
      </c>
      <c r="D7" s="2019">
        <v>43628</v>
      </c>
      <c r="E7" s="2016" t="s">
        <v>159</v>
      </c>
      <c r="F7" s="2016" t="s">
        <v>719</v>
      </c>
      <c r="G7" s="2021" t="s">
        <v>918</v>
      </c>
      <c r="H7" s="2022">
        <v>16</v>
      </c>
      <c r="I7" s="2023">
        <v>16</v>
      </c>
      <c r="J7" s="2022" t="s">
        <v>926</v>
      </c>
      <c r="K7" s="2016" t="s">
        <v>917</v>
      </c>
      <c r="L7" s="2018">
        <v>6</v>
      </c>
      <c r="M7" s="2018">
        <v>24</v>
      </c>
      <c r="N7" s="2019">
        <v>43644</v>
      </c>
      <c r="O7" s="175"/>
      <c r="P7" s="2074">
        <v>43747</v>
      </c>
    </row>
    <row r="8" spans="1:16">
      <c r="A8" s="2025" t="s">
        <v>1815</v>
      </c>
      <c r="B8" s="2020" t="s">
        <v>915</v>
      </c>
      <c r="C8" s="2019">
        <v>43628</v>
      </c>
      <c r="D8" s="2019">
        <v>43628</v>
      </c>
      <c r="E8" s="2027" t="s">
        <v>160</v>
      </c>
      <c r="F8" s="2025" t="s">
        <v>719</v>
      </c>
      <c r="G8" s="2029" t="s">
        <v>921</v>
      </c>
      <c r="H8" s="2030">
        <v>1.8</v>
      </c>
      <c r="I8" s="2032">
        <v>1.8</v>
      </c>
      <c r="J8" s="2024"/>
      <c r="K8" s="2016" t="s">
        <v>917</v>
      </c>
      <c r="L8" s="2031">
        <v>0.1</v>
      </c>
      <c r="M8" s="2031"/>
      <c r="N8" s="2017">
        <v>43648</v>
      </c>
      <c r="O8" s="175"/>
      <c r="P8" s="45"/>
    </row>
    <row r="9" spans="1:16">
      <c r="A9" s="2025" t="s">
        <v>1815</v>
      </c>
      <c r="B9" s="2020" t="s">
        <v>915</v>
      </c>
      <c r="C9" s="2019">
        <v>43628</v>
      </c>
      <c r="D9" s="2019">
        <v>43628</v>
      </c>
      <c r="E9" s="2027" t="s">
        <v>160</v>
      </c>
      <c r="F9" s="2025" t="s">
        <v>719</v>
      </c>
      <c r="G9" s="2029" t="s">
        <v>921</v>
      </c>
      <c r="H9" s="2030">
        <v>1.8</v>
      </c>
      <c r="I9" s="2032">
        <v>1.8</v>
      </c>
      <c r="J9" s="2024"/>
      <c r="K9" s="2016" t="s">
        <v>917</v>
      </c>
      <c r="L9" s="2031">
        <v>0.1</v>
      </c>
      <c r="M9" s="2031"/>
      <c r="N9" s="2017">
        <v>43648</v>
      </c>
      <c r="O9" s="175"/>
      <c r="P9" s="45"/>
    </row>
    <row r="10" spans="1:16">
      <c r="A10" s="1874" t="s">
        <v>1765</v>
      </c>
      <c r="B10" s="1880" t="s">
        <v>1766</v>
      </c>
      <c r="C10" s="1879">
        <v>43655</v>
      </c>
      <c r="D10" s="1879">
        <v>43655</v>
      </c>
      <c r="E10" s="1885" t="s">
        <v>177</v>
      </c>
      <c r="F10" s="1875" t="s">
        <v>719</v>
      </c>
      <c r="G10" s="1881" t="s">
        <v>916</v>
      </c>
      <c r="H10" s="1877">
        <v>271</v>
      </c>
      <c r="I10" s="1882">
        <v>271</v>
      </c>
      <c r="J10" s="1875"/>
      <c r="K10" s="1886" t="s">
        <v>917</v>
      </c>
      <c r="L10" s="1878">
        <v>26</v>
      </c>
      <c r="M10" s="1878">
        <v>104</v>
      </c>
      <c r="N10" s="1876">
        <v>43671</v>
      </c>
      <c r="O10" s="175"/>
    </row>
    <row r="11" spans="1:16">
      <c r="A11" s="1874" t="s">
        <v>1765</v>
      </c>
      <c r="B11" s="1880" t="s">
        <v>1766</v>
      </c>
      <c r="C11" s="1879">
        <v>43655</v>
      </c>
      <c r="D11" s="1879">
        <v>43655</v>
      </c>
      <c r="E11" s="1875" t="s">
        <v>159</v>
      </c>
      <c r="F11" s="1875" t="s">
        <v>719</v>
      </c>
      <c r="G11" s="1881" t="s">
        <v>918</v>
      </c>
      <c r="H11" s="1877">
        <v>12</v>
      </c>
      <c r="I11" s="1882">
        <v>12</v>
      </c>
      <c r="J11" s="1877" t="s">
        <v>926</v>
      </c>
      <c r="K11" s="1875" t="s">
        <v>917</v>
      </c>
      <c r="L11" s="1878">
        <v>6</v>
      </c>
      <c r="M11" s="1878">
        <v>24</v>
      </c>
      <c r="N11" s="1876">
        <v>43671</v>
      </c>
      <c r="O11" s="175"/>
    </row>
    <row r="12" spans="1:16">
      <c r="A12" s="1884" t="s">
        <v>1767</v>
      </c>
      <c r="B12" s="1880" t="s">
        <v>915</v>
      </c>
      <c r="C12" s="1879">
        <v>43655</v>
      </c>
      <c r="D12" s="1879">
        <v>43655</v>
      </c>
      <c r="E12" s="1885" t="s">
        <v>160</v>
      </c>
      <c r="F12" s="1884" t="s">
        <v>719</v>
      </c>
      <c r="G12" s="1887" t="s">
        <v>921</v>
      </c>
      <c r="H12" s="1888">
        <v>2.2999999999999998</v>
      </c>
      <c r="I12" s="1890">
        <v>2.2999999999999998</v>
      </c>
      <c r="J12" s="1883"/>
      <c r="K12" s="1875" t="s">
        <v>917</v>
      </c>
      <c r="L12" s="1889">
        <v>0.1</v>
      </c>
      <c r="M12" s="1889"/>
      <c r="N12" s="1876">
        <v>43671</v>
      </c>
      <c r="O12" s="175"/>
    </row>
    <row r="13" spans="1:16">
      <c r="A13" s="1884" t="s">
        <v>1767</v>
      </c>
      <c r="B13" s="1880" t="s">
        <v>915</v>
      </c>
      <c r="C13" s="1879">
        <v>43655</v>
      </c>
      <c r="D13" s="1879">
        <v>43655</v>
      </c>
      <c r="E13" s="1885" t="s">
        <v>160</v>
      </c>
      <c r="F13" s="1884" t="s">
        <v>719</v>
      </c>
      <c r="G13" s="1887" t="s">
        <v>921</v>
      </c>
      <c r="H13" s="1888">
        <v>2.2999999999999998</v>
      </c>
      <c r="I13" s="1890">
        <v>2.2999999999999998</v>
      </c>
      <c r="J13" s="1883"/>
      <c r="K13" s="1875" t="s">
        <v>917</v>
      </c>
      <c r="L13" s="1889">
        <v>0.1</v>
      </c>
      <c r="M13" s="1889"/>
      <c r="N13" s="1876">
        <v>43671</v>
      </c>
      <c r="O13" s="175"/>
    </row>
    <row r="14" spans="1:16">
      <c r="A14" s="2069" t="s">
        <v>1821</v>
      </c>
      <c r="B14" s="2075" t="s">
        <v>915</v>
      </c>
      <c r="C14" s="2074">
        <v>43691</v>
      </c>
      <c r="D14" s="2074">
        <v>43691</v>
      </c>
      <c r="E14" s="2080" t="s">
        <v>177</v>
      </c>
      <c r="F14" s="2070" t="s">
        <v>719</v>
      </c>
      <c r="G14" s="2076" t="s">
        <v>916</v>
      </c>
      <c r="H14" s="2072">
        <v>239</v>
      </c>
      <c r="I14" s="2077">
        <v>239</v>
      </c>
      <c r="J14" s="2070"/>
      <c r="K14" s="2081" t="s">
        <v>917</v>
      </c>
      <c r="L14" s="2073">
        <v>26</v>
      </c>
      <c r="M14" s="2073">
        <v>104</v>
      </c>
      <c r="N14" s="2071">
        <v>43718</v>
      </c>
    </row>
    <row r="15" spans="1:16">
      <c r="A15" s="2069" t="s">
        <v>1821</v>
      </c>
      <c r="B15" s="2075" t="s">
        <v>915</v>
      </c>
      <c r="C15" s="2074">
        <v>43691</v>
      </c>
      <c r="D15" s="2074">
        <v>43691</v>
      </c>
      <c r="E15" s="2070" t="s">
        <v>159</v>
      </c>
      <c r="F15" s="2070" t="s">
        <v>719</v>
      </c>
      <c r="G15" s="2076" t="s">
        <v>918</v>
      </c>
      <c r="H15" s="2072">
        <v>18</v>
      </c>
      <c r="I15" s="2077">
        <v>18</v>
      </c>
      <c r="J15" s="2072" t="s">
        <v>926</v>
      </c>
      <c r="K15" s="2070" t="s">
        <v>917</v>
      </c>
      <c r="L15" s="2073">
        <v>6</v>
      </c>
      <c r="M15" s="2073">
        <v>24</v>
      </c>
      <c r="N15" s="2071">
        <v>43718</v>
      </c>
    </row>
    <row r="16" spans="1:16">
      <c r="A16" s="2070" t="s">
        <v>1821</v>
      </c>
      <c r="B16" s="2075" t="s">
        <v>915</v>
      </c>
      <c r="C16" s="2074">
        <v>43691</v>
      </c>
      <c r="D16" s="2074">
        <v>43691</v>
      </c>
      <c r="E16" s="2080" t="s">
        <v>1353</v>
      </c>
      <c r="F16" s="2070" t="s">
        <v>719</v>
      </c>
      <c r="G16" s="2076" t="s">
        <v>1354</v>
      </c>
      <c r="H16" s="2086">
        <v>4</v>
      </c>
      <c r="I16" s="2077">
        <v>4</v>
      </c>
      <c r="J16" s="2086"/>
      <c r="K16" s="2070" t="s">
        <v>1355</v>
      </c>
      <c r="L16" s="2073">
        <v>2</v>
      </c>
      <c r="M16" s="2073"/>
      <c r="N16" s="2071">
        <v>43692</v>
      </c>
    </row>
    <row r="17" spans="1:14">
      <c r="A17" s="2079" t="s">
        <v>1821</v>
      </c>
      <c r="B17" s="2075" t="s">
        <v>915</v>
      </c>
      <c r="C17" s="2074">
        <v>43691</v>
      </c>
      <c r="D17" s="2074">
        <v>43691</v>
      </c>
      <c r="E17" s="2080" t="s">
        <v>160</v>
      </c>
      <c r="F17" s="2079" t="s">
        <v>719</v>
      </c>
      <c r="G17" s="2082" t="s">
        <v>921</v>
      </c>
      <c r="H17" s="2083">
        <v>2.4</v>
      </c>
      <c r="I17" s="2085">
        <v>2.4</v>
      </c>
      <c r="J17" s="2078"/>
      <c r="K17" s="2070" t="s">
        <v>917</v>
      </c>
      <c r="L17" s="2084">
        <v>0.1</v>
      </c>
      <c r="M17" s="2084"/>
      <c r="N17" s="2071">
        <v>43707</v>
      </c>
    </row>
    <row r="18" spans="1:14">
      <c r="A18" s="2079" t="s">
        <v>1821</v>
      </c>
      <c r="B18" s="2075" t="s">
        <v>915</v>
      </c>
      <c r="C18" s="2074">
        <v>43691</v>
      </c>
      <c r="D18" s="2074">
        <v>43691</v>
      </c>
      <c r="E18" s="2080" t="s">
        <v>160</v>
      </c>
      <c r="F18" s="2079" t="s">
        <v>719</v>
      </c>
      <c r="G18" s="2082" t="s">
        <v>921</v>
      </c>
      <c r="H18" s="2083">
        <v>3.2</v>
      </c>
      <c r="I18" s="2085">
        <v>3.2</v>
      </c>
      <c r="J18" s="2078"/>
      <c r="K18" s="2070" t="s">
        <v>917</v>
      </c>
      <c r="L18" s="2084">
        <v>0.1</v>
      </c>
      <c r="M18" s="2084"/>
      <c r="N18" s="2071">
        <v>43707</v>
      </c>
    </row>
    <row r="19" spans="1:14">
      <c r="A19" s="2034" t="s">
        <v>1817</v>
      </c>
      <c r="B19" s="2040" t="s">
        <v>915</v>
      </c>
      <c r="C19" s="2039">
        <v>43719</v>
      </c>
      <c r="D19" s="2039">
        <v>43719</v>
      </c>
      <c r="E19" s="2045" t="s">
        <v>177</v>
      </c>
      <c r="F19" s="2035" t="s">
        <v>719</v>
      </c>
      <c r="G19" s="2041" t="s">
        <v>916</v>
      </c>
      <c r="H19" s="2037">
        <v>244</v>
      </c>
      <c r="I19" s="2042">
        <v>244</v>
      </c>
      <c r="J19" s="2035"/>
      <c r="K19" s="2046" t="s">
        <v>917</v>
      </c>
      <c r="L19" s="2038">
        <v>26</v>
      </c>
      <c r="M19" s="2038">
        <v>104</v>
      </c>
      <c r="N19" s="2036">
        <v>43747</v>
      </c>
    </row>
    <row r="20" spans="1:14">
      <c r="A20" s="2034" t="s">
        <v>1817</v>
      </c>
      <c r="B20" s="2040" t="s">
        <v>915</v>
      </c>
      <c r="C20" s="2039">
        <v>43719</v>
      </c>
      <c r="D20" s="2039">
        <v>43719</v>
      </c>
      <c r="E20" s="2035" t="s">
        <v>159</v>
      </c>
      <c r="F20" s="2035" t="s">
        <v>719</v>
      </c>
      <c r="G20" s="2041" t="s">
        <v>918</v>
      </c>
      <c r="H20" s="2037">
        <v>11</v>
      </c>
      <c r="I20" s="2042">
        <v>11</v>
      </c>
      <c r="J20" s="2037" t="s">
        <v>926</v>
      </c>
      <c r="K20" s="2035" t="s">
        <v>917</v>
      </c>
      <c r="L20" s="2038">
        <v>6</v>
      </c>
      <c r="M20" s="2038">
        <v>24</v>
      </c>
      <c r="N20" s="2036">
        <v>43747</v>
      </c>
    </row>
    <row r="21" spans="1:14">
      <c r="A21" s="2035" t="s">
        <v>1817</v>
      </c>
      <c r="B21" s="2040" t="s">
        <v>915</v>
      </c>
      <c r="C21" s="2039">
        <v>43719</v>
      </c>
      <c r="D21" s="2039">
        <v>43719</v>
      </c>
      <c r="E21" s="2045" t="s">
        <v>1353</v>
      </c>
      <c r="F21" s="2035" t="s">
        <v>719</v>
      </c>
      <c r="G21" s="2041" t="s">
        <v>1354</v>
      </c>
      <c r="H21" s="2051">
        <v>4</v>
      </c>
      <c r="I21" s="2042">
        <v>4</v>
      </c>
      <c r="J21" s="2051"/>
      <c r="K21" s="2035" t="s">
        <v>1355</v>
      </c>
      <c r="L21" s="2038">
        <v>2</v>
      </c>
      <c r="M21" s="2038"/>
      <c r="N21" s="2036">
        <v>43720</v>
      </c>
    </row>
    <row r="22" spans="1:14">
      <c r="A22" s="2044" t="s">
        <v>1817</v>
      </c>
      <c r="B22" s="2040" t="s">
        <v>915</v>
      </c>
      <c r="C22" s="2039">
        <v>43719</v>
      </c>
      <c r="D22" s="2039">
        <v>43719</v>
      </c>
      <c r="E22" s="2045" t="s">
        <v>160</v>
      </c>
      <c r="F22" s="2044" t="s">
        <v>719</v>
      </c>
      <c r="G22" s="2047" t="s">
        <v>921</v>
      </c>
      <c r="H22" s="2048">
        <v>5.6</v>
      </c>
      <c r="I22" s="2050">
        <v>5.6</v>
      </c>
      <c r="J22" s="2043"/>
      <c r="K22" s="2035" t="s">
        <v>917</v>
      </c>
      <c r="L22" s="2049">
        <v>0.1</v>
      </c>
      <c r="M22" s="2049"/>
      <c r="N22" s="2036">
        <v>43741</v>
      </c>
    </row>
    <row r="23" spans="1:14">
      <c r="A23" s="2044" t="s">
        <v>1817</v>
      </c>
      <c r="B23" s="2040" t="s">
        <v>915</v>
      </c>
      <c r="C23" s="2039">
        <v>43719</v>
      </c>
      <c r="D23" s="2039">
        <v>43719</v>
      </c>
      <c r="E23" s="2045" t="s">
        <v>160</v>
      </c>
      <c r="F23" s="2044" t="s">
        <v>719</v>
      </c>
      <c r="G23" s="2047" t="s">
        <v>921</v>
      </c>
      <c r="H23" s="2048">
        <v>4.7</v>
      </c>
      <c r="I23" s="2050">
        <v>4.7</v>
      </c>
      <c r="J23" s="2043"/>
      <c r="K23" s="2035" t="s">
        <v>917</v>
      </c>
      <c r="L23" s="2049">
        <v>0.1</v>
      </c>
      <c r="M23" s="2049"/>
      <c r="N23" s="2036">
        <v>43741</v>
      </c>
    </row>
    <row r="24" spans="1:14">
      <c r="A24" s="2052" t="s">
        <v>1819</v>
      </c>
      <c r="B24" s="2058" t="s">
        <v>915</v>
      </c>
      <c r="C24" s="2057">
        <v>43747</v>
      </c>
      <c r="D24" s="2057">
        <v>43747</v>
      </c>
      <c r="E24" s="2063" t="s">
        <v>177</v>
      </c>
      <c r="F24" s="2053" t="s">
        <v>719</v>
      </c>
      <c r="G24" s="2059" t="s">
        <v>916</v>
      </c>
      <c r="H24" s="2055">
        <v>204</v>
      </c>
      <c r="I24" s="2060">
        <v>204</v>
      </c>
      <c r="J24" s="2053"/>
      <c r="K24" s="2064" t="s">
        <v>917</v>
      </c>
      <c r="L24" s="2056">
        <v>26</v>
      </c>
      <c r="M24" s="2056">
        <v>104</v>
      </c>
      <c r="N24" s="2054">
        <v>43770</v>
      </c>
    </row>
    <row r="25" spans="1:14">
      <c r="A25" s="2052" t="s">
        <v>1819</v>
      </c>
      <c r="B25" s="2058" t="s">
        <v>915</v>
      </c>
      <c r="C25" s="2057">
        <v>43747</v>
      </c>
      <c r="D25" s="2057">
        <v>43747</v>
      </c>
      <c r="E25" s="2053" t="s">
        <v>159</v>
      </c>
      <c r="F25" s="2053" t="s">
        <v>719</v>
      </c>
      <c r="G25" s="2059" t="s">
        <v>918</v>
      </c>
      <c r="H25" s="2055">
        <v>21</v>
      </c>
      <c r="I25" s="2060">
        <v>21</v>
      </c>
      <c r="J25" s="2055" t="s">
        <v>926</v>
      </c>
      <c r="K25" s="2053" t="s">
        <v>917</v>
      </c>
      <c r="L25" s="2056">
        <v>6</v>
      </c>
      <c r="M25" s="2056">
        <v>24</v>
      </c>
      <c r="N25" s="2054">
        <v>43770</v>
      </c>
    </row>
    <row r="26" spans="1:14">
      <c r="A26" s="2062" t="s">
        <v>1819</v>
      </c>
      <c r="B26" s="2058" t="s">
        <v>915</v>
      </c>
      <c r="C26" s="2057">
        <v>43747</v>
      </c>
      <c r="D26" s="2057">
        <v>43747</v>
      </c>
      <c r="E26" s="2063" t="s">
        <v>160</v>
      </c>
      <c r="F26" s="2062" t="s">
        <v>719</v>
      </c>
      <c r="G26" s="2065" t="s">
        <v>921</v>
      </c>
      <c r="H26" s="2066">
        <v>8.3000000000000007</v>
      </c>
      <c r="I26" s="2068">
        <v>8.3000000000000007</v>
      </c>
      <c r="J26" s="2061"/>
      <c r="K26" s="2053" t="s">
        <v>917</v>
      </c>
      <c r="L26" s="2067">
        <v>0.1</v>
      </c>
      <c r="M26" s="2067"/>
      <c r="N26" s="2054">
        <v>43754</v>
      </c>
    </row>
    <row r="27" spans="1:14">
      <c r="A27" s="2062" t="s">
        <v>1819</v>
      </c>
      <c r="B27" s="2058" t="s">
        <v>915</v>
      </c>
      <c r="C27" s="2057">
        <v>43747</v>
      </c>
      <c r="D27" s="2057">
        <v>43747</v>
      </c>
      <c r="E27" s="2063" t="s">
        <v>160</v>
      </c>
      <c r="F27" s="2062" t="s">
        <v>719</v>
      </c>
      <c r="G27" s="2065" t="s">
        <v>921</v>
      </c>
      <c r="H27" s="2066">
        <v>8</v>
      </c>
      <c r="I27" s="2068">
        <v>8</v>
      </c>
      <c r="J27" s="2061"/>
      <c r="K27" s="2053" t="s">
        <v>917</v>
      </c>
      <c r="L27" s="2067">
        <v>0.1</v>
      </c>
      <c r="M27" s="2067"/>
      <c r="N27" s="2054">
        <v>43754</v>
      </c>
    </row>
    <row r="28" spans="1:14">
      <c r="A28" s="2069"/>
      <c r="B28" s="2075"/>
      <c r="C28" s="2074"/>
      <c r="D28" s="2074"/>
      <c r="E28" s="2070"/>
      <c r="F28" s="2070"/>
      <c r="G28" s="2076"/>
      <c r="H28" s="2072"/>
      <c r="I28" s="2077"/>
      <c r="J28" s="2072"/>
      <c r="K28" s="2070"/>
      <c r="L28" s="2073"/>
      <c r="M28" s="2073"/>
      <c r="N28" s="2071"/>
    </row>
    <row r="29" spans="1:14">
      <c r="A29" s="1998" t="s">
        <v>1814</v>
      </c>
      <c r="B29" s="2002" t="s">
        <v>1377</v>
      </c>
      <c r="C29" s="2001">
        <v>43602</v>
      </c>
      <c r="D29" s="2001">
        <v>43602</v>
      </c>
      <c r="E29" s="2009" t="s">
        <v>177</v>
      </c>
      <c r="F29" s="1998" t="s">
        <v>719</v>
      </c>
      <c r="G29" s="2003" t="s">
        <v>916</v>
      </c>
      <c r="H29" s="2004">
        <v>249</v>
      </c>
      <c r="I29" s="2005">
        <v>249</v>
      </c>
      <c r="J29" s="2015"/>
      <c r="K29" s="2010" t="s">
        <v>917</v>
      </c>
      <c r="L29" s="2000">
        <v>26</v>
      </c>
      <c r="M29" s="2000">
        <v>104</v>
      </c>
      <c r="N29" s="1999">
        <v>43609</v>
      </c>
    </row>
    <row r="30" spans="1:14">
      <c r="A30" s="1998" t="s">
        <v>1814</v>
      </c>
      <c r="B30" s="2002" t="s">
        <v>1377</v>
      </c>
      <c r="C30" s="2001">
        <v>43602</v>
      </c>
      <c r="D30" s="2001">
        <v>43602</v>
      </c>
      <c r="E30" s="1998" t="s">
        <v>159</v>
      </c>
      <c r="F30" s="1998" t="s">
        <v>719</v>
      </c>
      <c r="G30" s="2003" t="s">
        <v>918</v>
      </c>
      <c r="H30" s="2004">
        <v>10</v>
      </c>
      <c r="I30" s="2005">
        <v>10</v>
      </c>
      <c r="J30" s="2015" t="s">
        <v>926</v>
      </c>
      <c r="K30" s="1998" t="s">
        <v>917</v>
      </c>
      <c r="L30" s="2000">
        <v>6</v>
      </c>
      <c r="M30" s="2000">
        <v>24</v>
      </c>
      <c r="N30" s="2001">
        <v>43609</v>
      </c>
    </row>
    <row r="31" spans="1:14">
      <c r="A31" s="2016" t="s">
        <v>1816</v>
      </c>
      <c r="B31" s="2020" t="s">
        <v>1377</v>
      </c>
      <c r="C31" s="2019">
        <v>43628</v>
      </c>
      <c r="D31" s="2019">
        <v>43628</v>
      </c>
      <c r="E31" s="2027" t="s">
        <v>177</v>
      </c>
      <c r="F31" s="2016" t="s">
        <v>719</v>
      </c>
      <c r="G31" s="2021" t="s">
        <v>916</v>
      </c>
      <c r="H31" s="2022">
        <v>317</v>
      </c>
      <c r="I31" s="2023">
        <v>317</v>
      </c>
      <c r="J31" s="2033"/>
      <c r="K31" s="2028" t="s">
        <v>917</v>
      </c>
      <c r="L31" s="2018">
        <v>26</v>
      </c>
      <c r="M31" s="2018">
        <v>104</v>
      </c>
      <c r="N31" s="2017">
        <v>43644</v>
      </c>
    </row>
    <row r="32" spans="1:14">
      <c r="A32" s="2016" t="s">
        <v>1816</v>
      </c>
      <c r="B32" s="2020" t="s">
        <v>1377</v>
      </c>
      <c r="C32" s="2019">
        <v>43628</v>
      </c>
      <c r="D32" s="2019">
        <v>43628</v>
      </c>
      <c r="E32" s="2016" t="s">
        <v>159</v>
      </c>
      <c r="F32" s="2016" t="s">
        <v>719</v>
      </c>
      <c r="G32" s="2021" t="s">
        <v>918</v>
      </c>
      <c r="H32" s="2022">
        <v>28</v>
      </c>
      <c r="I32" s="2023">
        <v>28</v>
      </c>
      <c r="J32" s="2033"/>
      <c r="K32" s="2016" t="s">
        <v>917</v>
      </c>
      <c r="L32" s="2018">
        <v>6</v>
      </c>
      <c r="M32" s="2018">
        <v>24</v>
      </c>
      <c r="N32" s="2019">
        <v>43644</v>
      </c>
    </row>
    <row r="33" spans="1:14">
      <c r="A33" s="1874" t="s">
        <v>1767</v>
      </c>
      <c r="B33" s="1880" t="s">
        <v>1377</v>
      </c>
      <c r="C33" s="1879">
        <v>43655</v>
      </c>
      <c r="D33" s="1879">
        <v>43655</v>
      </c>
      <c r="E33" s="1885" t="s">
        <v>177</v>
      </c>
      <c r="F33" s="1875" t="s">
        <v>719</v>
      </c>
      <c r="G33" s="1881" t="s">
        <v>916</v>
      </c>
      <c r="H33" s="1877">
        <v>213</v>
      </c>
      <c r="I33" s="1882">
        <v>213</v>
      </c>
      <c r="J33" s="1875"/>
      <c r="K33" s="1886" t="s">
        <v>917</v>
      </c>
      <c r="L33" s="1878">
        <v>26</v>
      </c>
      <c r="M33" s="1878">
        <v>104</v>
      </c>
      <c r="N33" s="1876">
        <v>43671</v>
      </c>
    </row>
    <row r="34" spans="1:14">
      <c r="A34" s="1874" t="s">
        <v>1767</v>
      </c>
      <c r="B34" s="1880" t="s">
        <v>1377</v>
      </c>
      <c r="C34" s="1879">
        <v>43655</v>
      </c>
      <c r="D34" s="1879">
        <v>43655</v>
      </c>
      <c r="E34" s="1875" t="s">
        <v>159</v>
      </c>
      <c r="F34" s="1875" t="s">
        <v>719</v>
      </c>
      <c r="G34" s="1881" t="s">
        <v>918</v>
      </c>
      <c r="H34" s="1877">
        <v>13</v>
      </c>
      <c r="I34" s="1882">
        <v>13</v>
      </c>
      <c r="J34" s="1877" t="s">
        <v>926</v>
      </c>
      <c r="K34" s="1875" t="s">
        <v>917</v>
      </c>
      <c r="L34" s="1878">
        <v>6</v>
      </c>
      <c r="M34" s="1878">
        <v>24</v>
      </c>
      <c r="N34" s="1876">
        <v>43671</v>
      </c>
    </row>
    <row r="35" spans="1:14">
      <c r="A35" s="2079" t="s">
        <v>1822</v>
      </c>
      <c r="B35" s="2075" t="s">
        <v>1377</v>
      </c>
      <c r="C35" s="2074">
        <v>43691</v>
      </c>
      <c r="D35" s="2074">
        <v>43691</v>
      </c>
      <c r="E35" s="2080" t="s">
        <v>177</v>
      </c>
      <c r="F35" s="2070" t="s">
        <v>719</v>
      </c>
      <c r="G35" s="2076" t="s">
        <v>916</v>
      </c>
      <c r="H35" s="2072">
        <v>238</v>
      </c>
      <c r="I35" s="2077">
        <v>238</v>
      </c>
      <c r="J35" s="2070"/>
      <c r="K35" s="2081" t="s">
        <v>917</v>
      </c>
      <c r="L35" s="2073">
        <v>26</v>
      </c>
      <c r="M35" s="2073">
        <v>104</v>
      </c>
      <c r="N35" s="2071">
        <v>43718</v>
      </c>
    </row>
    <row r="36" spans="1:14">
      <c r="A36" s="2069" t="s">
        <v>1822</v>
      </c>
      <c r="B36" s="2075" t="s">
        <v>1377</v>
      </c>
      <c r="C36" s="2074">
        <v>43691</v>
      </c>
      <c r="D36" s="2074">
        <v>43691</v>
      </c>
      <c r="E36" s="2070" t="s">
        <v>159</v>
      </c>
      <c r="F36" s="2070" t="s">
        <v>719</v>
      </c>
      <c r="G36" s="2076" t="s">
        <v>918</v>
      </c>
      <c r="H36" s="2072">
        <v>19</v>
      </c>
      <c r="I36" s="2077">
        <v>19</v>
      </c>
      <c r="J36" s="2072" t="s">
        <v>926</v>
      </c>
      <c r="K36" s="2070" t="s">
        <v>917</v>
      </c>
      <c r="L36" s="2073">
        <v>6</v>
      </c>
      <c r="M36" s="2073">
        <v>24</v>
      </c>
      <c r="N36" s="2071">
        <v>43718</v>
      </c>
    </row>
    <row r="37" spans="1:14">
      <c r="A37" s="2044" t="s">
        <v>1818</v>
      </c>
      <c r="B37" s="2040" t="s">
        <v>1377</v>
      </c>
      <c r="C37" s="2039">
        <v>43719</v>
      </c>
      <c r="D37" s="2039">
        <v>43719</v>
      </c>
      <c r="E37" s="2045" t="s">
        <v>177</v>
      </c>
      <c r="F37" s="2035" t="s">
        <v>719</v>
      </c>
      <c r="G37" s="2041" t="s">
        <v>916</v>
      </c>
      <c r="H37" s="2037">
        <v>275</v>
      </c>
      <c r="I37" s="2042">
        <v>275</v>
      </c>
      <c r="J37" s="2035"/>
      <c r="K37" s="2046" t="s">
        <v>917</v>
      </c>
      <c r="L37" s="2038">
        <v>26</v>
      </c>
      <c r="M37" s="2038">
        <v>104</v>
      </c>
      <c r="N37" s="2036">
        <v>43747</v>
      </c>
    </row>
    <row r="38" spans="1:14" s="1969" customFormat="1">
      <c r="A38" s="2034" t="s">
        <v>1818</v>
      </c>
      <c r="B38" s="2040" t="s">
        <v>1377</v>
      </c>
      <c r="C38" s="2039">
        <v>43719</v>
      </c>
      <c r="D38" s="2039">
        <v>43719</v>
      </c>
      <c r="E38" s="2035" t="s">
        <v>159</v>
      </c>
      <c r="F38" s="2035" t="s">
        <v>719</v>
      </c>
      <c r="G38" s="2041" t="s">
        <v>918</v>
      </c>
      <c r="H38" s="2037">
        <v>18</v>
      </c>
      <c r="I38" s="2042">
        <v>18</v>
      </c>
      <c r="J38" s="2037" t="s">
        <v>926</v>
      </c>
      <c r="K38" s="2035" t="s">
        <v>917</v>
      </c>
      <c r="L38" s="2038">
        <v>6</v>
      </c>
      <c r="M38" s="2038">
        <v>24</v>
      </c>
      <c r="N38" s="2036">
        <v>43747</v>
      </c>
    </row>
    <row r="39" spans="1:14" s="1969" customFormat="1">
      <c r="A39" s="2062" t="s">
        <v>1820</v>
      </c>
      <c r="B39" s="2058" t="s">
        <v>1377</v>
      </c>
      <c r="C39" s="2057">
        <v>43747</v>
      </c>
      <c r="D39" s="2057">
        <v>43747</v>
      </c>
      <c r="E39" s="2063" t="s">
        <v>177</v>
      </c>
      <c r="F39" s="2053" t="s">
        <v>719</v>
      </c>
      <c r="G39" s="2059" t="s">
        <v>916</v>
      </c>
      <c r="H39" s="2055">
        <v>265</v>
      </c>
      <c r="I39" s="2060">
        <v>265</v>
      </c>
      <c r="J39" s="2053"/>
      <c r="K39" s="2064" t="s">
        <v>917</v>
      </c>
      <c r="L39" s="2056">
        <v>26</v>
      </c>
      <c r="M39" s="2056">
        <v>104</v>
      </c>
      <c r="N39" s="2054">
        <v>43770</v>
      </c>
    </row>
    <row r="40" spans="1:14" s="1969" customFormat="1">
      <c r="A40" s="2052" t="s">
        <v>1820</v>
      </c>
      <c r="B40" s="2058" t="s">
        <v>1377</v>
      </c>
      <c r="C40" s="2057">
        <v>43747</v>
      </c>
      <c r="D40" s="2057">
        <v>43747</v>
      </c>
      <c r="E40" s="2053" t="s">
        <v>159</v>
      </c>
      <c r="F40" s="2053" t="s">
        <v>719</v>
      </c>
      <c r="G40" s="2059" t="s">
        <v>918</v>
      </c>
      <c r="H40" s="2055">
        <v>44</v>
      </c>
      <c r="I40" s="2060">
        <v>44</v>
      </c>
      <c r="J40" s="2055"/>
      <c r="K40" s="2053" t="s">
        <v>917</v>
      </c>
      <c r="L40" s="2056">
        <v>6</v>
      </c>
      <c r="M40" s="2056">
        <v>24</v>
      </c>
      <c r="N40" s="2054">
        <v>43770</v>
      </c>
    </row>
    <row r="41" spans="1:14" s="1969" customFormat="1">
      <c r="A41" s="2069"/>
      <c r="B41" s="2075"/>
      <c r="C41" s="2074"/>
      <c r="D41" s="2074"/>
      <c r="E41" s="2070"/>
      <c r="F41" s="2070"/>
      <c r="G41" s="2076"/>
      <c r="H41" s="2072"/>
      <c r="I41" s="2077"/>
      <c r="J41" s="2072"/>
      <c r="K41" s="2070"/>
      <c r="L41" s="2073"/>
      <c r="M41" s="2073"/>
      <c r="N41" s="2071"/>
    </row>
    <row r="42" spans="1:14">
      <c r="A42" s="486"/>
      <c r="B42" s="490"/>
      <c r="C42" s="489" t="s">
        <v>915</v>
      </c>
      <c r="D42" s="507" t="s">
        <v>28</v>
      </c>
      <c r="E42" s="505" t="s">
        <v>27</v>
      </c>
      <c r="F42" s="505"/>
      <c r="G42" s="507" t="s">
        <v>160</v>
      </c>
      <c r="H42" s="486"/>
      <c r="I42" s="507" t="s">
        <v>261</v>
      </c>
      <c r="J42" s="505"/>
      <c r="M42" s="488"/>
      <c r="N42" s="487"/>
    </row>
    <row r="43" spans="1:14">
      <c r="A43" s="507" t="s">
        <v>915</v>
      </c>
      <c r="C43" s="2074">
        <v>43602</v>
      </c>
      <c r="D43" s="1112">
        <v>246</v>
      </c>
      <c r="E43" s="1119">
        <v>12</v>
      </c>
      <c r="F43" s="1119"/>
      <c r="G43" s="542">
        <v>4.4000000000000004</v>
      </c>
      <c r="H43" s="542">
        <v>5</v>
      </c>
      <c r="I43" s="1121">
        <f>AVERAGE(G43:H43)</f>
        <v>4.7</v>
      </c>
      <c r="J43" s="1120"/>
      <c r="K43" s="507"/>
      <c r="L43" s="505"/>
      <c r="M43" s="488"/>
      <c r="N43" s="487"/>
    </row>
    <row r="44" spans="1:14">
      <c r="A44" s="507"/>
      <c r="B44" s="506"/>
      <c r="C44" s="2074">
        <v>43628</v>
      </c>
      <c r="D44" s="1112">
        <v>319</v>
      </c>
      <c r="E44" s="1119">
        <v>16</v>
      </c>
      <c r="F44" s="1119"/>
      <c r="G44" s="542">
        <v>1.8</v>
      </c>
      <c r="H44" s="542">
        <v>1.8</v>
      </c>
      <c r="I44" s="1121">
        <f t="shared" ref="I44:I48" si="0">AVERAGE(G44:H44)</f>
        <v>1.8</v>
      </c>
      <c r="J44" s="1120"/>
      <c r="K44" s="505"/>
      <c r="L44" s="505"/>
      <c r="M44" s="492"/>
      <c r="N44" s="487"/>
    </row>
    <row r="45" spans="1:14">
      <c r="A45" s="507"/>
      <c r="B45" s="506"/>
      <c r="C45" s="2074">
        <v>43655</v>
      </c>
      <c r="D45" s="1120">
        <v>271</v>
      </c>
      <c r="E45" s="1119">
        <v>12</v>
      </c>
      <c r="F45" s="1119"/>
      <c r="G45" s="542">
        <v>2.2999999999999998</v>
      </c>
      <c r="H45" s="542">
        <v>2.2999999999999998</v>
      </c>
      <c r="I45" s="1121">
        <f t="shared" si="0"/>
        <v>2.2999999999999998</v>
      </c>
      <c r="J45" s="1119"/>
      <c r="K45" s="491"/>
      <c r="L45" s="488"/>
      <c r="M45" s="488"/>
      <c r="N45" s="487"/>
    </row>
    <row r="46" spans="1:14">
      <c r="A46" s="507"/>
      <c r="B46" s="506"/>
      <c r="C46" s="2074">
        <v>43691</v>
      </c>
      <c r="D46" s="1121">
        <v>239</v>
      </c>
      <c r="E46" s="1119">
        <v>18</v>
      </c>
      <c r="F46" s="1119"/>
      <c r="G46" s="542">
        <v>2.4</v>
      </c>
      <c r="H46" s="542">
        <v>3.4</v>
      </c>
      <c r="I46" s="1121">
        <f t="shared" si="0"/>
        <v>2.9</v>
      </c>
      <c r="J46" s="1119"/>
      <c r="K46" s="486"/>
      <c r="L46" s="488"/>
      <c r="M46" s="488"/>
      <c r="N46" s="487"/>
    </row>
    <row r="47" spans="1:14">
      <c r="A47" s="1027"/>
      <c r="C47" s="2074">
        <v>43719</v>
      </c>
      <c r="D47" s="1122">
        <v>244</v>
      </c>
      <c r="E47" s="535">
        <v>11</v>
      </c>
      <c r="F47" s="535"/>
      <c r="G47" s="542">
        <v>5.6</v>
      </c>
      <c r="H47" s="542">
        <v>5.7</v>
      </c>
      <c r="I47" s="1121">
        <f t="shared" si="0"/>
        <v>5.65</v>
      </c>
      <c r="J47" s="535"/>
      <c r="K47" s="163"/>
      <c r="L47" s="176"/>
      <c r="M47" s="176"/>
      <c r="N47" s="175"/>
    </row>
    <row r="48" spans="1:14">
      <c r="A48" s="1027"/>
      <c r="B48" s="1026"/>
      <c r="C48" s="2074">
        <v>43747</v>
      </c>
      <c r="D48" s="1122">
        <v>204</v>
      </c>
      <c r="E48" s="1123">
        <v>21</v>
      </c>
      <c r="F48" s="535"/>
      <c r="G48" s="542">
        <v>8.3000000000000007</v>
      </c>
      <c r="H48" s="542">
        <v>8</v>
      </c>
      <c r="I48" s="1121">
        <f t="shared" si="0"/>
        <v>8.15</v>
      </c>
      <c r="J48" s="452"/>
      <c r="K48" s="227"/>
      <c r="L48" s="232"/>
      <c r="M48" s="232"/>
      <c r="N48" s="175"/>
    </row>
    <row r="49" spans="1:14">
      <c r="A49" s="1027"/>
      <c r="B49" s="1026"/>
      <c r="C49" s="1027"/>
      <c r="D49" s="1034"/>
      <c r="E49" s="227"/>
      <c r="F49" s="227"/>
      <c r="G49" s="229"/>
      <c r="H49" s="227"/>
      <c r="I49" s="228"/>
      <c r="J49" s="227"/>
      <c r="K49" s="227"/>
      <c r="L49" s="174"/>
      <c r="M49" s="174"/>
      <c r="N49" s="175"/>
    </row>
    <row r="50" spans="1:14">
      <c r="A50" s="435" t="s">
        <v>1377</v>
      </c>
      <c r="B50" s="60"/>
      <c r="C50" s="2074">
        <v>43602</v>
      </c>
      <c r="D50" s="1120">
        <v>249</v>
      </c>
      <c r="E50" s="1120">
        <v>10</v>
      </c>
      <c r="F50" s="435"/>
      <c r="G50" s="435"/>
      <c r="H50" s="158"/>
      <c r="I50" s="177"/>
      <c r="J50" s="227"/>
      <c r="K50" s="435"/>
      <c r="L50" s="174"/>
      <c r="M50" s="174"/>
      <c r="N50" s="175"/>
    </row>
    <row r="51" spans="1:14">
      <c r="C51" s="2074">
        <v>43628</v>
      </c>
      <c r="D51" s="467">
        <v>317</v>
      </c>
      <c r="E51" s="467">
        <v>28</v>
      </c>
    </row>
    <row r="52" spans="1:14">
      <c r="A52" s="227"/>
      <c r="B52" s="228"/>
      <c r="C52" s="2074">
        <v>43655</v>
      </c>
      <c r="D52" s="452">
        <v>213</v>
      </c>
      <c r="E52" s="452">
        <v>13</v>
      </c>
      <c r="F52" s="227"/>
      <c r="G52" s="229"/>
      <c r="H52" s="227"/>
      <c r="I52" s="228"/>
      <c r="J52" s="227"/>
      <c r="K52" s="163"/>
      <c r="L52" s="174"/>
      <c r="M52" s="174"/>
      <c r="N52" s="175"/>
    </row>
    <row r="53" spans="1:14">
      <c r="A53" s="227"/>
      <c r="B53" s="228"/>
      <c r="C53" s="2074">
        <v>43691</v>
      </c>
      <c r="D53" s="452">
        <v>238</v>
      </c>
      <c r="E53" s="452">
        <v>19</v>
      </c>
      <c r="F53" s="227"/>
      <c r="G53" s="227"/>
      <c r="H53" s="227"/>
      <c r="I53" s="228"/>
      <c r="J53" s="227"/>
      <c r="K53" s="227"/>
      <c r="L53" s="174"/>
      <c r="M53" s="174"/>
      <c r="N53" s="175"/>
    </row>
    <row r="54" spans="1:14">
      <c r="A54" s="227"/>
      <c r="B54" s="228"/>
      <c r="C54" s="2074">
        <v>43719</v>
      </c>
      <c r="D54" s="452">
        <v>275</v>
      </c>
      <c r="E54" s="452">
        <v>18</v>
      </c>
      <c r="F54" s="227"/>
      <c r="G54" s="227"/>
      <c r="H54" s="227"/>
      <c r="I54" s="228"/>
      <c r="J54" s="227"/>
      <c r="K54" s="163"/>
      <c r="L54" s="176"/>
      <c r="M54" s="176"/>
      <c r="N54" s="175"/>
    </row>
    <row r="55" spans="1:14">
      <c r="A55" s="227"/>
      <c r="B55" s="228"/>
      <c r="C55" s="2074">
        <v>43747</v>
      </c>
      <c r="D55" s="452">
        <v>265</v>
      </c>
      <c r="E55" s="1298">
        <v>44</v>
      </c>
      <c r="F55" s="227"/>
      <c r="G55" s="229"/>
      <c r="H55" s="231"/>
      <c r="I55" s="230"/>
      <c r="J55" s="163"/>
      <c r="K55" s="227"/>
      <c r="L55" s="232"/>
      <c r="M55" s="232"/>
      <c r="N55" s="175"/>
    </row>
    <row r="56" spans="1:14">
      <c r="A56" s="227"/>
      <c r="B56" s="228"/>
      <c r="C56" s="92"/>
      <c r="D56" s="92"/>
      <c r="E56" s="227"/>
      <c r="F56" s="227"/>
      <c r="G56" s="229"/>
      <c r="H56" s="227"/>
      <c r="I56" s="228"/>
      <c r="J56" s="227"/>
      <c r="K56" s="227"/>
      <c r="L56" s="174"/>
      <c r="M56" s="174"/>
      <c r="N56" s="175"/>
    </row>
    <row r="57" spans="1:14">
      <c r="A57" s="227"/>
      <c r="B57" s="228"/>
      <c r="C57" s="92"/>
      <c r="D57" s="92"/>
      <c r="E57" s="228"/>
      <c r="F57" s="227"/>
      <c r="G57" s="233"/>
      <c r="H57" s="117"/>
      <c r="I57" s="177"/>
      <c r="J57" s="234"/>
      <c r="K57" s="227"/>
      <c r="L57" s="232"/>
      <c r="M57" s="232"/>
      <c r="N57" s="175"/>
    </row>
    <row r="58" spans="1:14">
      <c r="A58" s="227"/>
      <c r="B58" s="228"/>
      <c r="C58" s="92"/>
      <c r="D58" s="92"/>
      <c r="E58" s="228"/>
      <c r="F58" s="227"/>
      <c r="G58" s="233"/>
      <c r="H58" s="117"/>
      <c r="I58" s="177"/>
      <c r="J58" s="234"/>
      <c r="K58" s="227"/>
      <c r="L58" s="232"/>
      <c r="M58" s="232"/>
      <c r="N58" s="175"/>
    </row>
    <row r="59" spans="1:14">
      <c r="A59" s="227"/>
      <c r="B59" s="228"/>
      <c r="C59" s="92"/>
      <c r="D59" s="92"/>
      <c r="E59" s="227"/>
      <c r="F59" s="227"/>
      <c r="G59" s="227"/>
      <c r="H59" s="158"/>
      <c r="I59" s="177"/>
      <c r="J59" s="227"/>
      <c r="K59" s="227"/>
      <c r="L59" s="174"/>
      <c r="M59" s="174"/>
      <c r="N59" s="175"/>
    </row>
    <row r="60" spans="1:14">
      <c r="A60" s="227"/>
      <c r="B60" s="228"/>
      <c r="C60" s="92"/>
      <c r="D60" s="92"/>
      <c r="E60" s="228"/>
      <c r="F60" s="227"/>
      <c r="G60" s="229"/>
      <c r="H60" s="227"/>
      <c r="I60" s="228"/>
      <c r="J60" s="227"/>
      <c r="K60" s="163"/>
      <c r="L60" s="174"/>
      <c r="M60" s="174"/>
      <c r="N60" s="175"/>
    </row>
    <row r="61" spans="1:14">
      <c r="A61" s="227"/>
      <c r="B61" s="228"/>
      <c r="C61" s="92"/>
      <c r="D61" s="92"/>
      <c r="E61" s="227"/>
      <c r="F61" s="227"/>
      <c r="G61" s="227"/>
      <c r="H61" s="227"/>
      <c r="I61" s="228"/>
      <c r="J61" s="227"/>
      <c r="K61" s="227"/>
      <c r="L61" s="174"/>
      <c r="M61" s="174"/>
      <c r="N61" s="175"/>
    </row>
    <row r="62" spans="1:14">
      <c r="A62" s="227"/>
      <c r="B62" s="228"/>
      <c r="C62" s="92"/>
      <c r="D62" s="92"/>
      <c r="E62" s="227"/>
      <c r="F62" s="227"/>
      <c r="G62" s="227"/>
      <c r="H62" s="227"/>
      <c r="I62" s="228"/>
      <c r="J62" s="227"/>
      <c r="K62" s="163"/>
      <c r="L62" s="176"/>
      <c r="M62" s="176"/>
      <c r="N62" s="175"/>
    </row>
    <row r="63" spans="1:14">
      <c r="A63" s="227"/>
      <c r="B63" s="228"/>
      <c r="C63" s="92"/>
      <c r="D63" s="92"/>
      <c r="E63" s="230"/>
      <c r="F63" s="227"/>
      <c r="G63" s="229"/>
      <c r="H63" s="231"/>
      <c r="I63" s="230"/>
      <c r="J63" s="163"/>
      <c r="K63" s="227"/>
      <c r="L63" s="232"/>
      <c r="M63" s="232"/>
      <c r="N63" s="175"/>
    </row>
    <row r="64" spans="1:14">
      <c r="A64" s="227"/>
      <c r="B64" s="228"/>
      <c r="C64" s="92"/>
      <c r="D64" s="92"/>
      <c r="E64" s="227"/>
      <c r="F64" s="227"/>
      <c r="G64" s="229"/>
      <c r="H64" s="227"/>
      <c r="I64" s="228"/>
      <c r="J64" s="227"/>
      <c r="K64" s="227"/>
      <c r="L64" s="174"/>
      <c r="M64" s="174"/>
      <c r="N64" s="175"/>
    </row>
    <row r="65" spans="1:14">
      <c r="A65" s="227"/>
      <c r="B65" s="228"/>
      <c r="C65" s="92"/>
      <c r="D65" s="92"/>
      <c r="E65" s="227"/>
      <c r="F65" s="227"/>
      <c r="G65" s="227"/>
      <c r="H65" s="158"/>
      <c r="I65" s="177"/>
      <c r="J65" s="227"/>
      <c r="K65" s="227"/>
      <c r="L65" s="174"/>
      <c r="M65" s="174"/>
      <c r="N65" s="175"/>
    </row>
  </sheetData>
  <pageMargins left="0.7" right="0.7" top="0.75" bottom="0.75" header="0.3" footer="0.3"/>
  <pageSetup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T282"/>
  <sheetViews>
    <sheetView tabSelected="1" workbookViewId="0">
      <selection activeCell="A3" sqref="A3:I11"/>
    </sheetView>
  </sheetViews>
  <sheetFormatPr defaultColWidth="8.90625" defaultRowHeight="13"/>
  <cols>
    <col min="1" max="1" width="8.90625" style="91"/>
    <col min="2" max="2" width="26.36328125" style="91" customWidth="1"/>
    <col min="3" max="4" width="9.08984375" style="91" customWidth="1"/>
    <col min="5" max="5" width="12.08984375" style="91" customWidth="1"/>
    <col min="6" max="6" width="9.08984375" style="91" customWidth="1"/>
    <col min="7" max="7" width="10.453125" style="91" bestFit="1" customWidth="1"/>
    <col min="8" max="8" width="9.90625" style="91" bestFit="1" customWidth="1"/>
    <col min="9" max="9" width="7.36328125" style="91" bestFit="1" customWidth="1"/>
    <col min="10" max="10" width="8.90625" style="91"/>
    <col min="11" max="11" width="19.36328125" style="91" customWidth="1"/>
    <col min="12" max="12" width="10.08984375" style="91" bestFit="1" customWidth="1"/>
    <col min="13" max="13" width="8.54296875" style="91" customWidth="1"/>
    <col min="14" max="14" width="5.81640625" style="91" bestFit="1" customWidth="1"/>
    <col min="15" max="15" width="6.54296875" style="91" customWidth="1"/>
    <col min="16" max="16" width="5" style="91" customWidth="1"/>
    <col min="17" max="17" width="8.36328125" style="91" customWidth="1"/>
    <col min="18" max="18" width="11.36328125" style="91" customWidth="1"/>
    <col min="19" max="19" width="8.90625" style="91"/>
    <col min="20" max="20" width="3" style="91" customWidth="1"/>
    <col min="21" max="21" width="14.1796875" style="91" bestFit="1" customWidth="1"/>
    <col min="22" max="16384" width="8.90625" style="91"/>
  </cols>
  <sheetData>
    <row r="1" spans="1:20">
      <c r="C1" s="565">
        <v>2.7230000000000002E-3</v>
      </c>
      <c r="K1" s="580"/>
      <c r="L1" s="1125"/>
      <c r="M1" s="580"/>
      <c r="N1" s="2495"/>
      <c r="O1" s="2495"/>
      <c r="P1" s="580"/>
      <c r="Q1" s="580"/>
      <c r="R1" s="580"/>
      <c r="S1" s="580"/>
    </row>
    <row r="2" spans="1:20" ht="14">
      <c r="B2" s="2494" t="s">
        <v>519</v>
      </c>
      <c r="C2" s="2494"/>
      <c r="D2" s="2494"/>
      <c r="E2" s="2494"/>
      <c r="F2" s="2494"/>
      <c r="G2" s="2494"/>
      <c r="H2" s="2494"/>
      <c r="I2" s="2494"/>
      <c r="K2" s="1126"/>
      <c r="L2" s="1127"/>
      <c r="M2" s="1127"/>
      <c r="N2" s="1127"/>
      <c r="O2" s="1127"/>
      <c r="P2" s="1127"/>
      <c r="Q2" s="1126"/>
      <c r="R2" s="1126"/>
      <c r="S2" s="580"/>
      <c r="T2" s="102"/>
    </row>
    <row r="3" spans="1:20">
      <c r="A3" s="150" t="s">
        <v>9</v>
      </c>
      <c r="B3" s="2222" t="s">
        <v>161</v>
      </c>
      <c r="C3" s="2099">
        <v>43602</v>
      </c>
      <c r="D3" s="2099">
        <v>43628</v>
      </c>
      <c r="E3" s="2099">
        <v>43655</v>
      </c>
      <c r="F3" s="2099">
        <v>43691</v>
      </c>
      <c r="G3" s="2099">
        <v>43719</v>
      </c>
      <c r="H3" s="2099">
        <v>43747</v>
      </c>
      <c r="I3" s="151" t="s">
        <v>15</v>
      </c>
      <c r="K3" s="2074"/>
      <c r="L3" s="1128"/>
      <c r="M3" s="1129"/>
      <c r="N3" s="1130"/>
      <c r="O3" s="1130"/>
      <c r="P3" s="1131"/>
      <c r="Q3" s="1124"/>
      <c r="R3" s="1124"/>
      <c r="S3" s="580"/>
      <c r="T3" s="102"/>
    </row>
    <row r="4" spans="1:20">
      <c r="A4" s="2496" t="s">
        <v>517</v>
      </c>
      <c r="B4" s="495" t="s">
        <v>177</v>
      </c>
      <c r="C4" s="2090">
        <v>246</v>
      </c>
      <c r="D4" s="2090">
        <v>319</v>
      </c>
      <c r="E4" s="2090">
        <v>271</v>
      </c>
      <c r="F4" s="2090">
        <v>239</v>
      </c>
      <c r="G4" s="1989">
        <v>244</v>
      </c>
      <c r="H4" s="1989">
        <v>204</v>
      </c>
      <c r="I4" s="1974">
        <f t="shared" ref="I4:I8" si="0">AVERAGE(C4:H4)</f>
        <v>253.83333333333334</v>
      </c>
      <c r="K4" s="2074"/>
      <c r="L4" s="580"/>
      <c r="M4" s="1129"/>
      <c r="N4" s="1130"/>
      <c r="O4" s="1130"/>
      <c r="P4" s="1131"/>
      <c r="Q4" s="580"/>
      <c r="R4" s="580"/>
      <c r="S4" s="1132"/>
      <c r="T4" s="102"/>
    </row>
    <row r="5" spans="1:20">
      <c r="A5" s="2496"/>
      <c r="B5" s="326" t="s">
        <v>159</v>
      </c>
      <c r="C5" s="2098">
        <v>12</v>
      </c>
      <c r="D5" s="2098">
        <v>16</v>
      </c>
      <c r="E5" s="2098">
        <v>12</v>
      </c>
      <c r="F5" s="2098">
        <v>18</v>
      </c>
      <c r="G5" s="1987">
        <v>11</v>
      </c>
      <c r="H5" s="2097">
        <v>21</v>
      </c>
      <c r="I5" s="1974">
        <f t="shared" si="0"/>
        <v>15</v>
      </c>
      <c r="K5" s="2074"/>
      <c r="L5" s="580"/>
      <c r="M5" s="1129"/>
      <c r="N5" s="1130"/>
      <c r="O5" s="1130"/>
      <c r="P5" s="1131"/>
      <c r="Q5" s="580"/>
      <c r="R5" s="580"/>
      <c r="S5" s="1132"/>
      <c r="T5" s="102"/>
    </row>
    <row r="6" spans="1:20">
      <c r="A6" s="2496"/>
      <c r="B6" s="496" t="s">
        <v>692</v>
      </c>
      <c r="C6" s="170">
        <v>4.7</v>
      </c>
      <c r="D6" s="170">
        <v>1.8</v>
      </c>
      <c r="E6" s="170">
        <v>2.2999999999999998</v>
      </c>
      <c r="F6" s="170">
        <v>2.9</v>
      </c>
      <c r="G6" s="170">
        <v>5.65</v>
      </c>
      <c r="H6" s="170">
        <v>8.15</v>
      </c>
      <c r="I6" s="1974">
        <f t="shared" si="0"/>
        <v>4.25</v>
      </c>
      <c r="K6" s="2074"/>
      <c r="L6" s="580"/>
      <c r="M6" s="1129"/>
      <c r="N6" s="1130"/>
      <c r="O6" s="1130"/>
      <c r="P6" s="1131"/>
      <c r="Q6" s="580"/>
      <c r="R6" s="580"/>
      <c r="S6" s="1133"/>
      <c r="T6" s="102"/>
    </row>
    <row r="7" spans="1:20" ht="14">
      <c r="A7" s="2496" t="s">
        <v>518</v>
      </c>
      <c r="B7" s="497" t="s">
        <v>176</v>
      </c>
      <c r="C7" s="2090">
        <v>249</v>
      </c>
      <c r="D7" s="2096">
        <v>317</v>
      </c>
      <c r="E7" s="1987">
        <v>213</v>
      </c>
      <c r="F7" s="1987">
        <v>238</v>
      </c>
      <c r="G7" s="1987">
        <v>275</v>
      </c>
      <c r="H7" s="1987">
        <v>265</v>
      </c>
      <c r="I7" s="1974">
        <f t="shared" si="0"/>
        <v>259.5</v>
      </c>
      <c r="K7" s="2074"/>
      <c r="L7" s="580"/>
      <c r="M7" s="1129"/>
      <c r="N7" s="1130"/>
      <c r="O7" s="1130"/>
      <c r="P7" s="1131"/>
      <c r="Q7" s="580"/>
      <c r="R7" s="580"/>
      <c r="S7" s="580"/>
      <c r="T7" s="102"/>
    </row>
    <row r="8" spans="1:20" ht="14">
      <c r="A8" s="2496"/>
      <c r="B8" s="497" t="s">
        <v>159</v>
      </c>
      <c r="C8" s="2090">
        <v>23</v>
      </c>
      <c r="D8" s="2096">
        <v>24</v>
      </c>
      <c r="E8" s="1987">
        <v>28</v>
      </c>
      <c r="F8" s="1987">
        <v>52</v>
      </c>
      <c r="G8" s="1987">
        <v>38</v>
      </c>
      <c r="H8" s="2097">
        <v>44</v>
      </c>
      <c r="I8" s="1974">
        <f t="shared" si="0"/>
        <v>34.833333333333336</v>
      </c>
      <c r="J8" s="91">
        <f>AVERAGE(I8,I5)</f>
        <v>24.916666666666668</v>
      </c>
      <c r="K8" s="1127"/>
      <c r="L8" s="580"/>
      <c r="M8" s="1129"/>
      <c r="N8" s="1130"/>
      <c r="O8" s="1130"/>
      <c r="P8" s="1131"/>
      <c r="Q8" s="580"/>
      <c r="R8" s="580"/>
      <c r="S8" s="580"/>
      <c r="T8" s="102"/>
    </row>
    <row r="9" spans="1:20">
      <c r="A9" s="2642"/>
      <c r="B9" s="2642"/>
      <c r="C9" s="2643"/>
      <c r="D9" s="2643"/>
      <c r="E9" s="2643"/>
      <c r="F9" s="2643"/>
      <c r="G9" s="2643"/>
      <c r="H9" s="2643"/>
      <c r="I9" s="2644" t="s">
        <v>978</v>
      </c>
    </row>
    <row r="10" spans="1:20">
      <c r="A10" s="2403" t="s">
        <v>517</v>
      </c>
      <c r="B10" s="2221" t="s">
        <v>487</v>
      </c>
      <c r="C10" s="1987">
        <f t="shared" ref="C10:H10" si="1">C4*$C$1*C21</f>
        <v>32.823042000000001</v>
      </c>
      <c r="D10" s="1987">
        <f t="shared" si="1"/>
        <v>55.592768000000007</v>
      </c>
      <c r="E10" s="1987">
        <f t="shared" si="1"/>
        <v>31.731119000000003</v>
      </c>
      <c r="F10" s="1987">
        <f t="shared" si="1"/>
        <v>18.222316000000003</v>
      </c>
      <c r="G10" s="1987">
        <f t="shared" si="1"/>
        <v>11.959416000000001</v>
      </c>
      <c r="H10" s="1987">
        <f t="shared" si="1"/>
        <v>10.554347999999999</v>
      </c>
      <c r="I10" s="1974">
        <f>SUM(C10:H10)</f>
        <v>160.88300900000002</v>
      </c>
      <c r="K10" s="99" t="s">
        <v>132</v>
      </c>
      <c r="L10" s="2074">
        <v>43602</v>
      </c>
    </row>
    <row r="11" spans="1:20">
      <c r="A11" s="2403"/>
      <c r="B11" s="2221" t="s">
        <v>488</v>
      </c>
      <c r="C11" s="1987">
        <f>C5*$C$1*C22</f>
        <v>1.5194340000000002</v>
      </c>
      <c r="D11" s="1987">
        <f t="shared" ref="D11:H11" si="2">D5*$C$1*D22</f>
        <v>3.2283887999999998</v>
      </c>
      <c r="E11" s="1987">
        <f t="shared" si="2"/>
        <v>2.5291224000000003</v>
      </c>
      <c r="F11" s="1987">
        <f t="shared" si="2"/>
        <v>1.641969</v>
      </c>
      <c r="G11" s="1987">
        <f t="shared" si="2"/>
        <v>0.5571258</v>
      </c>
      <c r="H11" s="1987">
        <f t="shared" si="2"/>
        <v>0.73766070000000006</v>
      </c>
      <c r="I11" s="1974">
        <f>SUM(C11:H11)</f>
        <v>10.213700699999999</v>
      </c>
      <c r="K11" s="95" t="s">
        <v>248</v>
      </c>
      <c r="L11" s="101" t="s">
        <v>134</v>
      </c>
      <c r="M11" s="101" t="s">
        <v>135</v>
      </c>
      <c r="N11" s="101" t="s">
        <v>136</v>
      </c>
      <c r="O11" s="101" t="s">
        <v>137</v>
      </c>
      <c r="P11" s="101" t="s">
        <v>138</v>
      </c>
      <c r="Q11" s="95" t="s">
        <v>148</v>
      </c>
      <c r="R11" s="95" t="s">
        <v>156</v>
      </c>
    </row>
    <row r="12" spans="1:20">
      <c r="A12" s="2087"/>
      <c r="B12" s="2220"/>
      <c r="C12" s="2640"/>
      <c r="D12" s="2640"/>
      <c r="E12" s="2640"/>
      <c r="F12" s="2640"/>
      <c r="G12" s="2640"/>
      <c r="H12" s="2640"/>
      <c r="I12" s="2641"/>
      <c r="K12" s="96" t="s">
        <v>235</v>
      </c>
      <c r="L12" s="97">
        <v>0.38194444444444442</v>
      </c>
      <c r="M12" s="481">
        <v>94.6</v>
      </c>
      <c r="N12" s="189">
        <v>11.94</v>
      </c>
      <c r="O12" s="284">
        <v>10.4</v>
      </c>
      <c r="P12" s="189">
        <v>7.63</v>
      </c>
      <c r="Q12" s="287">
        <v>1.55</v>
      </c>
      <c r="R12" s="287">
        <v>6</v>
      </c>
    </row>
    <row r="13" spans="1:20">
      <c r="A13" s="493"/>
      <c r="B13" s="104"/>
      <c r="C13" s="535" t="s">
        <v>68</v>
      </c>
      <c r="D13" s="535" t="s">
        <v>69</v>
      </c>
      <c r="E13" s="535" t="s">
        <v>70</v>
      </c>
      <c r="F13" s="535" t="s">
        <v>71</v>
      </c>
      <c r="G13" s="535" t="s">
        <v>72</v>
      </c>
      <c r="H13" s="535" t="s">
        <v>73</v>
      </c>
      <c r="I13" s="452"/>
      <c r="K13" s="96" t="s">
        <v>139</v>
      </c>
      <c r="L13" s="98"/>
      <c r="M13" s="481">
        <v>94.6</v>
      </c>
      <c r="N13" s="288">
        <v>11.76</v>
      </c>
      <c r="O13" s="1977">
        <v>10.4</v>
      </c>
      <c r="P13" s="288">
        <v>7.52</v>
      </c>
      <c r="R13" s="91" t="s">
        <v>249</v>
      </c>
      <c r="S13" s="107">
        <f>AVERAGE(N12:N16)</f>
        <v>11.724</v>
      </c>
    </row>
    <row r="14" spans="1:20">
      <c r="A14" s="494"/>
      <c r="B14" s="104"/>
      <c r="C14" s="184"/>
      <c r="D14" s="184"/>
      <c r="E14" s="184"/>
      <c r="F14" s="184"/>
      <c r="G14" s="184"/>
      <c r="H14" s="184"/>
      <c r="I14" s="269"/>
      <c r="K14" s="96" t="s">
        <v>236</v>
      </c>
      <c r="L14" s="98"/>
      <c r="M14" s="481">
        <v>94.7</v>
      </c>
      <c r="N14" s="189">
        <v>11.69</v>
      </c>
      <c r="O14" s="1977">
        <v>10.4</v>
      </c>
      <c r="P14" s="189">
        <v>7.51</v>
      </c>
      <c r="R14" s="91" t="s">
        <v>242</v>
      </c>
      <c r="S14" s="107">
        <f>AVERAGE(O12:O16)</f>
        <v>10.4</v>
      </c>
    </row>
    <row r="15" spans="1:20">
      <c r="B15" s="111" t="s">
        <v>464</v>
      </c>
      <c r="C15" s="2099">
        <v>43602</v>
      </c>
      <c r="D15" s="2099">
        <v>43628</v>
      </c>
      <c r="E15" s="2099">
        <v>43655</v>
      </c>
      <c r="F15" s="2099">
        <v>43691</v>
      </c>
      <c r="G15" s="2099">
        <v>43719</v>
      </c>
      <c r="H15" s="2099">
        <v>43747</v>
      </c>
      <c r="I15" s="1138"/>
      <c r="J15" s="47"/>
      <c r="K15" s="96" t="s">
        <v>140</v>
      </c>
      <c r="L15" s="98"/>
      <c r="M15" s="1981">
        <v>94.7</v>
      </c>
      <c r="N15" s="189">
        <v>11.57</v>
      </c>
      <c r="O15" s="1977">
        <v>10.4</v>
      </c>
      <c r="P15" s="189">
        <v>7.46</v>
      </c>
      <c r="R15" s="91" t="s">
        <v>250</v>
      </c>
      <c r="S15" s="107">
        <f>AVERAGE(P12:P22)</f>
        <v>7.4460000000000006</v>
      </c>
    </row>
    <row r="16" spans="1:20">
      <c r="A16" s="2400" t="s">
        <v>99</v>
      </c>
      <c r="B16" s="152" t="s">
        <v>465</v>
      </c>
      <c r="C16" s="153">
        <f>S13</f>
        <v>11.724</v>
      </c>
      <c r="D16" s="153">
        <f>S26</f>
        <v>10.435</v>
      </c>
      <c r="E16" s="153">
        <f>S38</f>
        <v>8.5075000000000003</v>
      </c>
      <c r="F16" s="153">
        <f>S50</f>
        <v>8.01</v>
      </c>
      <c r="G16" s="153">
        <f>S62</f>
        <v>8.7050000000000001</v>
      </c>
      <c r="H16" s="153">
        <f>S74</f>
        <v>9.43</v>
      </c>
      <c r="I16" s="188"/>
      <c r="J16" s="47"/>
      <c r="K16" s="96" t="s">
        <v>237</v>
      </c>
      <c r="L16" s="98"/>
      <c r="M16" s="1981">
        <v>94.7</v>
      </c>
      <c r="N16" s="189">
        <v>11.66</v>
      </c>
      <c r="O16" s="1977">
        <v>10.4</v>
      </c>
      <c r="P16" s="189">
        <v>7.44</v>
      </c>
      <c r="R16" s="91" t="s">
        <v>251</v>
      </c>
      <c r="S16" s="441">
        <f>AVERAGE(M12:M22)</f>
        <v>94.660000000000011</v>
      </c>
      <c r="T16" s="104"/>
    </row>
    <row r="17" spans="1:19">
      <c r="A17" s="2400"/>
      <c r="B17" s="152" t="s">
        <v>467</v>
      </c>
      <c r="C17" s="153">
        <f t="shared" ref="C17:C18" si="3">S14</f>
        <v>10.4</v>
      </c>
      <c r="D17" s="153">
        <f>S27</f>
        <v>11.55</v>
      </c>
      <c r="E17" s="153">
        <f>S39</f>
        <v>15.450000000000001</v>
      </c>
      <c r="F17" s="153">
        <f>S51</f>
        <v>16.95</v>
      </c>
      <c r="G17" s="153">
        <f>S63</f>
        <v>16.875</v>
      </c>
      <c r="H17" s="153">
        <f>S75</f>
        <v>11.925000000000001</v>
      </c>
      <c r="I17" s="188"/>
      <c r="J17" s="47"/>
      <c r="K17" s="96" t="s">
        <v>141</v>
      </c>
      <c r="L17" s="98"/>
      <c r="M17" s="1981">
        <v>94.7</v>
      </c>
      <c r="N17" s="189">
        <v>11.68</v>
      </c>
      <c r="O17" s="284">
        <v>10.3</v>
      </c>
      <c r="P17" s="189">
        <v>7.42</v>
      </c>
      <c r="S17" s="105"/>
    </row>
    <row r="18" spans="1:19">
      <c r="A18" s="2400"/>
      <c r="B18" s="152" t="s">
        <v>466</v>
      </c>
      <c r="C18" s="153">
        <f t="shared" si="3"/>
        <v>7.4460000000000006</v>
      </c>
      <c r="D18" s="153">
        <f>S28</f>
        <v>8.0190000000000001</v>
      </c>
      <c r="E18" s="153">
        <f>S40</f>
        <v>7.8079999999999998</v>
      </c>
      <c r="F18" s="153">
        <f>S52</f>
        <v>8.0200000000000014</v>
      </c>
      <c r="G18" s="153">
        <f>S64</f>
        <v>7.4600000000000009</v>
      </c>
      <c r="H18" s="153">
        <f>S76</f>
        <v>7.1480000000000006</v>
      </c>
      <c r="I18" s="188"/>
      <c r="J18" s="47"/>
      <c r="K18" s="96" t="s">
        <v>238</v>
      </c>
      <c r="L18" s="98"/>
      <c r="M18" s="1981">
        <v>94.7</v>
      </c>
      <c r="N18" s="189">
        <v>11.68</v>
      </c>
      <c r="O18" s="284">
        <v>10.4</v>
      </c>
      <c r="P18" s="189">
        <v>7.41</v>
      </c>
    </row>
    <row r="19" spans="1:19">
      <c r="A19" s="2400"/>
      <c r="B19" s="152" t="s">
        <v>468</v>
      </c>
      <c r="C19" s="153">
        <f>S16</f>
        <v>94.660000000000011</v>
      </c>
      <c r="D19" s="153">
        <f>S29</f>
        <v>60.39</v>
      </c>
      <c r="E19" s="153">
        <f>S41</f>
        <v>53.929999999999993</v>
      </c>
      <c r="F19" s="153">
        <f>S53</f>
        <v>61.044444444444444</v>
      </c>
      <c r="G19" s="153">
        <f>S65</f>
        <v>61.98</v>
      </c>
      <c r="H19" s="153">
        <f>S77</f>
        <v>65.22</v>
      </c>
      <c r="I19" s="188"/>
      <c r="J19" s="47"/>
      <c r="K19" s="96"/>
      <c r="L19" s="2175"/>
      <c r="M19" s="1981"/>
      <c r="N19" s="189"/>
      <c r="O19" s="1977"/>
      <c r="P19" s="189"/>
    </row>
    <row r="20" spans="1:19">
      <c r="A20" s="2400"/>
      <c r="B20" s="91" t="s">
        <v>1879</v>
      </c>
      <c r="C20" s="527">
        <v>1.55</v>
      </c>
      <c r="D20" s="527">
        <v>1.3</v>
      </c>
      <c r="E20" s="527">
        <v>2.1</v>
      </c>
      <c r="F20" s="527">
        <v>2</v>
      </c>
      <c r="G20" s="527">
        <v>1.8</v>
      </c>
      <c r="H20" s="527">
        <v>1.1000000000000001</v>
      </c>
      <c r="I20" s="191">
        <f>AVERAGE(C20:H20)</f>
        <v>1.6416666666666666</v>
      </c>
      <c r="J20" s="47"/>
      <c r="K20" s="96" t="s">
        <v>142</v>
      </c>
      <c r="L20" s="98"/>
      <c r="M20" s="481">
        <v>94.6</v>
      </c>
      <c r="N20" s="189">
        <v>11.51</v>
      </c>
      <c r="O20" s="1977">
        <v>10.4</v>
      </c>
      <c r="P20" s="189">
        <v>7.38</v>
      </c>
    </row>
    <row r="21" spans="1:19">
      <c r="A21" s="2400" t="s">
        <v>854</v>
      </c>
      <c r="B21" s="442" t="s">
        <v>852</v>
      </c>
      <c r="C21" s="1066">
        <v>49</v>
      </c>
      <c r="D21" s="1066">
        <v>64</v>
      </c>
      <c r="E21" s="1067">
        <v>43</v>
      </c>
      <c r="F21" s="1067">
        <v>28</v>
      </c>
      <c r="G21" s="1067">
        <v>18</v>
      </c>
      <c r="H21" s="1067">
        <v>19</v>
      </c>
      <c r="J21" s="47"/>
      <c r="K21" s="96" t="s">
        <v>143</v>
      </c>
      <c r="L21" s="98"/>
      <c r="M21" s="481">
        <v>94.6</v>
      </c>
      <c r="N21" s="189">
        <v>11.68</v>
      </c>
      <c r="O21" s="284">
        <v>10.3</v>
      </c>
      <c r="P21" s="189">
        <v>7.33</v>
      </c>
    </row>
    <row r="22" spans="1:19">
      <c r="A22" s="2400"/>
      <c r="B22" s="98" t="s">
        <v>853</v>
      </c>
      <c r="C22" s="527">
        <v>46.5</v>
      </c>
      <c r="D22" s="527">
        <v>74.099999999999994</v>
      </c>
      <c r="E22" s="527">
        <v>77.400000000000006</v>
      </c>
      <c r="F22" s="527">
        <v>33.5</v>
      </c>
      <c r="G22" s="527">
        <v>18.600000000000001</v>
      </c>
      <c r="H22" s="527">
        <v>12.9</v>
      </c>
      <c r="J22" s="47"/>
      <c r="K22" s="96" t="s">
        <v>144</v>
      </c>
      <c r="L22" s="98"/>
      <c r="M22" s="481">
        <v>94.7</v>
      </c>
      <c r="N22" s="189">
        <v>11.43</v>
      </c>
      <c r="O22" s="284">
        <v>10.3</v>
      </c>
      <c r="P22" s="288">
        <v>7.36</v>
      </c>
    </row>
    <row r="23" spans="1:19">
      <c r="J23" s="47"/>
      <c r="K23" s="100" t="s">
        <v>132</v>
      </c>
      <c r="L23" s="2074">
        <v>43628</v>
      </c>
    </row>
    <row r="24" spans="1:19">
      <c r="J24" s="47"/>
      <c r="K24" s="95" t="s">
        <v>248</v>
      </c>
      <c r="L24" s="101" t="s">
        <v>134</v>
      </c>
      <c r="M24" s="101" t="s">
        <v>135</v>
      </c>
      <c r="N24" s="101" t="s">
        <v>136</v>
      </c>
      <c r="O24" s="101" t="s">
        <v>137</v>
      </c>
      <c r="P24" s="101" t="s">
        <v>138</v>
      </c>
      <c r="Q24" s="95" t="s">
        <v>148</v>
      </c>
      <c r="R24" s="95" t="s">
        <v>156</v>
      </c>
    </row>
    <row r="25" spans="1:19">
      <c r="J25" s="47"/>
      <c r="K25" s="96" t="s">
        <v>235</v>
      </c>
      <c r="L25" s="97">
        <v>0.52916666666666667</v>
      </c>
      <c r="M25" s="440">
        <v>61</v>
      </c>
      <c r="N25" s="285">
        <v>11.13</v>
      </c>
      <c r="O25" s="285">
        <v>12.2</v>
      </c>
      <c r="P25" s="153">
        <v>8.52</v>
      </c>
      <c r="Q25" s="287">
        <v>1.3</v>
      </c>
      <c r="R25" s="287">
        <v>5.8</v>
      </c>
    </row>
    <row r="26" spans="1:19">
      <c r="J26" s="47"/>
      <c r="K26" s="96" t="s">
        <v>139</v>
      </c>
      <c r="L26" s="98"/>
      <c r="M26" s="440">
        <v>60.6</v>
      </c>
      <c r="N26" s="285">
        <v>10.29</v>
      </c>
      <c r="O26" s="285">
        <v>11.4</v>
      </c>
      <c r="P26" s="153">
        <v>8.2100000000000009</v>
      </c>
      <c r="R26" s="91" t="s">
        <v>249</v>
      </c>
      <c r="S26" s="107">
        <f>AVERAGE(N25:N28)</f>
        <v>10.435</v>
      </c>
    </row>
    <row r="27" spans="1:19">
      <c r="J27" s="50"/>
      <c r="K27" s="96" t="s">
        <v>236</v>
      </c>
      <c r="L27" s="98"/>
      <c r="M27" s="440">
        <v>60.4</v>
      </c>
      <c r="N27" s="285">
        <v>10.31</v>
      </c>
      <c r="O27" s="285">
        <v>11.3</v>
      </c>
      <c r="P27" s="153">
        <v>8.1199999999999992</v>
      </c>
      <c r="R27" s="91" t="s">
        <v>242</v>
      </c>
      <c r="S27" s="107">
        <f>AVERAGE(O25:O28)</f>
        <v>11.55</v>
      </c>
    </row>
    <row r="28" spans="1:19">
      <c r="J28" s="54"/>
      <c r="K28" s="96" t="s">
        <v>140</v>
      </c>
      <c r="L28" s="98"/>
      <c r="M28" s="440">
        <v>60.5</v>
      </c>
      <c r="N28" s="285">
        <v>10.01</v>
      </c>
      <c r="O28" s="285">
        <v>11.3</v>
      </c>
      <c r="P28" s="153">
        <v>8.09</v>
      </c>
      <c r="R28" s="91" t="s">
        <v>250</v>
      </c>
      <c r="S28" s="107">
        <f>AVERAGE(P25:P34)</f>
        <v>8.0190000000000001</v>
      </c>
    </row>
    <row r="29" spans="1:19">
      <c r="K29" s="96" t="s">
        <v>237</v>
      </c>
      <c r="L29" s="98"/>
      <c r="M29" s="440">
        <v>60.4</v>
      </c>
      <c r="N29" s="285">
        <v>10.210000000000001</v>
      </c>
      <c r="O29" s="285">
        <v>11.2</v>
      </c>
      <c r="P29" s="153">
        <v>8</v>
      </c>
      <c r="R29" s="91" t="s">
        <v>251</v>
      </c>
      <c r="S29" s="441">
        <f>AVERAGE(M25:M34)</f>
        <v>60.39</v>
      </c>
    </row>
    <row r="30" spans="1:19">
      <c r="K30" s="96" t="s">
        <v>141</v>
      </c>
      <c r="L30" s="98"/>
      <c r="M30" s="440">
        <v>60.3</v>
      </c>
      <c r="N30" s="285">
        <v>10.210000000000001</v>
      </c>
      <c r="O30" s="285">
        <v>11.2</v>
      </c>
      <c r="P30" s="153">
        <v>7.92</v>
      </c>
    </row>
    <row r="31" spans="1:19">
      <c r="K31" s="96" t="s">
        <v>238</v>
      </c>
      <c r="L31" s="98"/>
      <c r="M31" s="440">
        <v>60.3</v>
      </c>
      <c r="N31" s="285">
        <v>10.039999999999999</v>
      </c>
      <c r="O31" s="285">
        <v>11.1</v>
      </c>
      <c r="P31" s="153">
        <v>7.89</v>
      </c>
    </row>
    <row r="32" spans="1:19">
      <c r="K32" s="96" t="s">
        <v>142</v>
      </c>
      <c r="L32" s="98"/>
      <c r="M32" s="440">
        <v>60.3</v>
      </c>
      <c r="N32" s="285">
        <v>10.039999999999999</v>
      </c>
      <c r="O32" s="285">
        <v>11</v>
      </c>
      <c r="P32" s="153">
        <v>7.87</v>
      </c>
    </row>
    <row r="33" spans="2:19">
      <c r="B33" s="105"/>
      <c r="C33" s="106"/>
      <c r="D33" s="106"/>
      <c r="K33" s="96" t="s">
        <v>143</v>
      </c>
      <c r="L33" s="98"/>
      <c r="M33" s="440">
        <v>60.1</v>
      </c>
      <c r="N33" s="285">
        <v>10.06</v>
      </c>
      <c r="O33" s="285">
        <v>10.9</v>
      </c>
      <c r="P33" s="153">
        <v>7.82</v>
      </c>
    </row>
    <row r="34" spans="2:19">
      <c r="B34" s="105"/>
      <c r="C34" s="106"/>
      <c r="D34" s="106"/>
      <c r="E34" s="103"/>
      <c r="F34" s="103"/>
      <c r="G34" s="103"/>
      <c r="H34" s="103"/>
      <c r="I34" s="103"/>
      <c r="K34" s="96" t="s">
        <v>144</v>
      </c>
      <c r="L34" s="98"/>
      <c r="M34" s="440">
        <v>60</v>
      </c>
      <c r="N34" s="286">
        <v>9.7899999999999991</v>
      </c>
      <c r="O34" s="285">
        <v>10.5</v>
      </c>
      <c r="P34" s="189">
        <v>7.75</v>
      </c>
    </row>
    <row r="35" spans="2:19">
      <c r="B35" s="105"/>
      <c r="C35" s="106"/>
      <c r="D35" s="106"/>
      <c r="K35" s="100" t="s">
        <v>132</v>
      </c>
      <c r="L35" s="2074">
        <v>43655</v>
      </c>
    </row>
    <row r="36" spans="2:19">
      <c r="K36" s="95" t="s">
        <v>248</v>
      </c>
      <c r="L36" s="101" t="s">
        <v>134</v>
      </c>
      <c r="M36" s="101" t="s">
        <v>135</v>
      </c>
      <c r="N36" s="101" t="s">
        <v>136</v>
      </c>
      <c r="O36" s="101" t="s">
        <v>137</v>
      </c>
      <c r="P36" s="101" t="s">
        <v>138</v>
      </c>
      <c r="Q36" s="95" t="s">
        <v>148</v>
      </c>
      <c r="R36" s="95" t="s">
        <v>156</v>
      </c>
    </row>
    <row r="37" spans="2:19">
      <c r="K37" s="96" t="s">
        <v>235</v>
      </c>
      <c r="L37" s="97">
        <v>0.53125</v>
      </c>
      <c r="M37" s="440">
        <v>54.2</v>
      </c>
      <c r="N37" s="153">
        <v>8.85</v>
      </c>
      <c r="O37" s="283">
        <v>15.8</v>
      </c>
      <c r="P37" s="153">
        <v>8.36</v>
      </c>
      <c r="Q37" s="287">
        <v>2.1</v>
      </c>
      <c r="R37" s="287">
        <v>5.9</v>
      </c>
    </row>
    <row r="38" spans="2:19">
      <c r="K38" s="96" t="s">
        <v>139</v>
      </c>
      <c r="L38" s="98"/>
      <c r="M38" s="440">
        <v>54.4</v>
      </c>
      <c r="N38" s="153">
        <v>8.9</v>
      </c>
      <c r="O38" s="283">
        <v>15.8</v>
      </c>
      <c r="P38" s="153">
        <v>8.09</v>
      </c>
      <c r="R38" s="91" t="s">
        <v>249</v>
      </c>
      <c r="S38" s="107">
        <f>AVERAGE(N37:N40)</f>
        <v>8.5075000000000003</v>
      </c>
    </row>
    <row r="39" spans="2:19">
      <c r="K39" s="96" t="s">
        <v>236</v>
      </c>
      <c r="L39" s="98"/>
      <c r="M39" s="440">
        <v>53.9</v>
      </c>
      <c r="N39" s="153">
        <v>7.51</v>
      </c>
      <c r="O39" s="283">
        <v>15.1</v>
      </c>
      <c r="P39" s="153">
        <v>7.93</v>
      </c>
      <c r="R39" s="91" t="s">
        <v>242</v>
      </c>
      <c r="S39" s="107">
        <f>AVERAGE(O37:O40)</f>
        <v>15.450000000000001</v>
      </c>
    </row>
    <row r="40" spans="2:19">
      <c r="K40" s="96" t="s">
        <v>140</v>
      </c>
      <c r="L40" s="98"/>
      <c r="M40" s="440">
        <v>54</v>
      </c>
      <c r="N40" s="153">
        <v>8.77</v>
      </c>
      <c r="O40" s="283">
        <v>15.1</v>
      </c>
      <c r="P40" s="153">
        <v>7.77</v>
      </c>
      <c r="R40" s="91" t="s">
        <v>250</v>
      </c>
      <c r="S40" s="107">
        <f>AVERAGE(P37:P46)</f>
        <v>7.8079999999999998</v>
      </c>
    </row>
    <row r="41" spans="2:19">
      <c r="K41" s="96" t="s">
        <v>237</v>
      </c>
      <c r="L41" s="98"/>
      <c r="M41" s="440">
        <v>53.8</v>
      </c>
      <c r="N41" s="153">
        <v>8.86</v>
      </c>
      <c r="O41" s="283">
        <v>14.4</v>
      </c>
      <c r="P41" s="443">
        <v>7.77</v>
      </c>
      <c r="R41" s="91" t="s">
        <v>251</v>
      </c>
      <c r="S41" s="441">
        <f>AVERAGE(M37:M46)</f>
        <v>53.929999999999993</v>
      </c>
    </row>
    <row r="42" spans="2:19">
      <c r="K42" s="96" t="s">
        <v>141</v>
      </c>
      <c r="L42" s="98"/>
      <c r="M42" s="440">
        <v>53.7</v>
      </c>
      <c r="N42" s="153">
        <v>8.7799999999999994</v>
      </c>
      <c r="O42" s="283">
        <v>13.6</v>
      </c>
      <c r="P42" s="153">
        <v>7.71</v>
      </c>
    </row>
    <row r="43" spans="2:19">
      <c r="K43" s="96" t="s">
        <v>238</v>
      </c>
      <c r="L43" s="98"/>
      <c r="M43" s="440">
        <v>54</v>
      </c>
      <c r="N43" s="190">
        <v>8.7200000000000006</v>
      </c>
      <c r="O43" s="283">
        <v>13.2</v>
      </c>
      <c r="P43" s="153">
        <v>7.68</v>
      </c>
    </row>
    <row r="44" spans="2:19">
      <c r="K44" s="96" t="s">
        <v>142</v>
      </c>
      <c r="L44" s="98"/>
      <c r="M44" s="440">
        <v>53.9</v>
      </c>
      <c r="N44" s="153">
        <v>8.61</v>
      </c>
      <c r="O44" s="1137">
        <v>13.2</v>
      </c>
      <c r="P44" s="153">
        <v>7.61</v>
      </c>
    </row>
    <row r="45" spans="2:19">
      <c r="K45" s="96" t="s">
        <v>143</v>
      </c>
      <c r="L45" s="98"/>
      <c r="M45" s="440">
        <v>53.7</v>
      </c>
      <c r="N45" s="153">
        <v>8.68</v>
      </c>
      <c r="O45" s="283">
        <v>12.9</v>
      </c>
      <c r="P45" s="153">
        <v>7.6</v>
      </c>
    </row>
    <row r="46" spans="2:19">
      <c r="K46" s="96" t="s">
        <v>144</v>
      </c>
      <c r="L46" s="98"/>
      <c r="M46" s="440">
        <v>53.7</v>
      </c>
      <c r="N46" s="189">
        <v>8.89</v>
      </c>
      <c r="O46" s="283">
        <v>12.7</v>
      </c>
      <c r="P46" s="153">
        <v>7.56</v>
      </c>
    </row>
    <row r="47" spans="2:19">
      <c r="K47" s="100" t="s">
        <v>132</v>
      </c>
      <c r="L47" s="2074">
        <v>43691</v>
      </c>
    </row>
    <row r="48" spans="2:19">
      <c r="K48" s="95" t="s">
        <v>248</v>
      </c>
      <c r="L48" s="101" t="s">
        <v>134</v>
      </c>
      <c r="M48" s="101" t="s">
        <v>135</v>
      </c>
      <c r="N48" s="101" t="s">
        <v>136</v>
      </c>
      <c r="O48" s="101" t="s">
        <v>137</v>
      </c>
      <c r="P48" s="101" t="s">
        <v>138</v>
      </c>
      <c r="Q48" s="95" t="s">
        <v>148</v>
      </c>
      <c r="R48" s="95" t="s">
        <v>156</v>
      </c>
    </row>
    <row r="49" spans="11:19">
      <c r="K49" s="96" t="s">
        <v>235</v>
      </c>
      <c r="L49" s="97">
        <v>0.47569444444444442</v>
      </c>
      <c r="M49" s="440">
        <v>61.1</v>
      </c>
      <c r="N49" s="153">
        <v>8.0500000000000007</v>
      </c>
      <c r="O49" s="283">
        <v>17.2</v>
      </c>
      <c r="P49" s="153">
        <v>8.52</v>
      </c>
      <c r="Q49" s="287">
        <v>2</v>
      </c>
      <c r="R49" s="287">
        <v>5.6</v>
      </c>
    </row>
    <row r="50" spans="11:19">
      <c r="K50" s="96" t="s">
        <v>139</v>
      </c>
      <c r="L50" s="98"/>
      <c r="M50" s="440">
        <v>61.3</v>
      </c>
      <c r="N50" s="153">
        <v>8.0299999999999994</v>
      </c>
      <c r="O50" s="283">
        <v>16.899999999999999</v>
      </c>
      <c r="P50" s="153">
        <v>8.26</v>
      </c>
      <c r="R50" s="91" t="s">
        <v>249</v>
      </c>
      <c r="S50" s="107">
        <f>AVERAGE(N49:N52)</f>
        <v>8.01</v>
      </c>
    </row>
    <row r="51" spans="11:19">
      <c r="K51" s="96" t="s">
        <v>236</v>
      </c>
      <c r="L51" s="98"/>
      <c r="M51" s="440">
        <v>61.1</v>
      </c>
      <c r="N51" s="153">
        <v>8.02</v>
      </c>
      <c r="O51" s="283">
        <v>16.899999999999999</v>
      </c>
      <c r="P51" s="153">
        <v>8.17</v>
      </c>
      <c r="R51" s="91" t="s">
        <v>242</v>
      </c>
      <c r="S51" s="107">
        <f>AVERAGE(O49:O52)</f>
        <v>16.95</v>
      </c>
    </row>
    <row r="52" spans="11:19">
      <c r="K52" s="96" t="s">
        <v>140</v>
      </c>
      <c r="L52" s="98"/>
      <c r="M52" s="440">
        <v>61.3</v>
      </c>
      <c r="N52" s="153">
        <v>7.94</v>
      </c>
      <c r="O52" s="283">
        <v>16.8</v>
      </c>
      <c r="P52" s="443">
        <v>8.0399999999999991</v>
      </c>
      <c r="R52" s="91" t="s">
        <v>250</v>
      </c>
      <c r="S52" s="107">
        <f>AVERAGE(P49:P58)</f>
        <v>8.0200000000000014</v>
      </c>
    </row>
    <row r="53" spans="11:19">
      <c r="K53" s="96" t="s">
        <v>237</v>
      </c>
      <c r="L53" s="98"/>
      <c r="M53" s="440">
        <v>61</v>
      </c>
      <c r="N53" s="153">
        <v>7.6</v>
      </c>
      <c r="O53" s="283">
        <v>16.399999999999999</v>
      </c>
      <c r="P53" s="153">
        <v>7.95</v>
      </c>
      <c r="R53" s="91" t="s">
        <v>251</v>
      </c>
      <c r="S53" s="441">
        <f>AVERAGE(M49:M58)</f>
        <v>61.044444444444444</v>
      </c>
    </row>
    <row r="54" spans="11:19">
      <c r="K54" s="96" t="s">
        <v>141</v>
      </c>
      <c r="L54" s="98"/>
      <c r="M54" s="440">
        <v>60.9</v>
      </c>
      <c r="N54" s="153">
        <v>7.63</v>
      </c>
      <c r="O54" s="283">
        <v>16.5</v>
      </c>
      <c r="P54" s="153">
        <v>7.94</v>
      </c>
    </row>
    <row r="55" spans="11:19">
      <c r="K55" s="96" t="s">
        <v>238</v>
      </c>
      <c r="L55" s="98"/>
      <c r="M55" s="440">
        <v>61</v>
      </c>
      <c r="N55" s="190">
        <v>7.6</v>
      </c>
      <c r="O55" s="283">
        <v>16.399999999999999</v>
      </c>
      <c r="P55" s="153">
        <v>7.94</v>
      </c>
    </row>
    <row r="56" spans="11:19">
      <c r="K56" s="96" t="s">
        <v>142</v>
      </c>
      <c r="L56" s="98"/>
      <c r="M56" s="440">
        <v>60.9</v>
      </c>
      <c r="N56" s="153">
        <v>7.88</v>
      </c>
      <c r="O56" s="283">
        <v>16.399999999999999</v>
      </c>
      <c r="P56" s="153">
        <v>7.85</v>
      </c>
    </row>
    <row r="57" spans="11:19">
      <c r="K57" s="96" t="s">
        <v>143</v>
      </c>
      <c r="L57" s="98"/>
      <c r="M57" s="440">
        <v>60.8</v>
      </c>
      <c r="N57" s="153">
        <v>7.83</v>
      </c>
      <c r="O57" s="283">
        <v>16.2</v>
      </c>
      <c r="P57" s="153">
        <v>7.51</v>
      </c>
    </row>
    <row r="58" spans="11:19">
      <c r="K58" s="96" t="s">
        <v>144</v>
      </c>
      <c r="L58" s="98"/>
      <c r="M58" s="440"/>
      <c r="N58" s="189"/>
      <c r="O58" s="283"/>
      <c r="P58" s="189"/>
    </row>
    <row r="59" spans="11:19">
      <c r="K59" s="100" t="s">
        <v>132</v>
      </c>
      <c r="L59" s="2074">
        <v>43719</v>
      </c>
      <c r="M59" s="2100"/>
    </row>
    <row r="60" spans="11:19">
      <c r="K60" s="95" t="s">
        <v>248</v>
      </c>
      <c r="L60" s="101" t="s">
        <v>134</v>
      </c>
      <c r="M60" s="101" t="s">
        <v>135</v>
      </c>
      <c r="N60" s="101" t="s">
        <v>136</v>
      </c>
      <c r="O60" s="101" t="s">
        <v>137</v>
      </c>
      <c r="P60" s="101" t="s">
        <v>138</v>
      </c>
      <c r="Q60" s="95" t="s">
        <v>148</v>
      </c>
      <c r="R60" s="95" t="s">
        <v>156</v>
      </c>
    </row>
    <row r="61" spans="11:19">
      <c r="K61" s="96" t="s">
        <v>235</v>
      </c>
      <c r="L61" s="97">
        <v>0.49305555555555558</v>
      </c>
      <c r="M61" s="440">
        <v>61.9</v>
      </c>
      <c r="N61" s="153">
        <v>9</v>
      </c>
      <c r="O61" s="283">
        <v>16.8</v>
      </c>
      <c r="P61" s="153">
        <v>7.66</v>
      </c>
      <c r="Q61" s="287">
        <v>1.8</v>
      </c>
      <c r="R61" s="287">
        <v>5.7</v>
      </c>
    </row>
    <row r="62" spans="11:19">
      <c r="K62" s="96" t="s">
        <v>139</v>
      </c>
      <c r="L62" s="98"/>
      <c r="M62" s="440">
        <v>61.9</v>
      </c>
      <c r="N62" s="153">
        <v>8.65</v>
      </c>
      <c r="O62" s="283">
        <v>16.8</v>
      </c>
      <c r="P62" s="153">
        <v>7.57</v>
      </c>
      <c r="R62" s="91" t="s">
        <v>249</v>
      </c>
      <c r="S62" s="107">
        <f>AVERAGE(N61:N64)</f>
        <v>8.7050000000000001</v>
      </c>
    </row>
    <row r="63" spans="11:19">
      <c r="K63" s="96" t="s">
        <v>236</v>
      </c>
      <c r="L63" s="98"/>
      <c r="M63" s="440">
        <v>61.9</v>
      </c>
      <c r="N63" s="153">
        <v>8.61</v>
      </c>
      <c r="O63" s="283">
        <v>17.7</v>
      </c>
      <c r="P63" s="153">
        <v>7.52</v>
      </c>
      <c r="R63" s="91" t="s">
        <v>242</v>
      </c>
      <c r="S63" s="107">
        <f>AVERAGE(O61:O64)</f>
        <v>16.875</v>
      </c>
    </row>
    <row r="64" spans="11:19">
      <c r="K64" s="96" t="s">
        <v>140</v>
      </c>
      <c r="L64" s="98"/>
      <c r="M64" s="440">
        <v>62.1</v>
      </c>
      <c r="N64" s="153">
        <v>8.56</v>
      </c>
      <c r="O64" s="283">
        <v>16.2</v>
      </c>
      <c r="P64" s="153">
        <v>7.51</v>
      </c>
      <c r="R64" s="91" t="s">
        <v>250</v>
      </c>
      <c r="S64" s="107">
        <f>AVERAGE(P61:P70)</f>
        <v>7.4600000000000009</v>
      </c>
    </row>
    <row r="65" spans="11:19">
      <c r="K65" s="96" t="s">
        <v>237</v>
      </c>
      <c r="L65" s="98"/>
      <c r="M65" s="440">
        <v>61.9</v>
      </c>
      <c r="N65" s="153">
        <v>8.5399999999999991</v>
      </c>
      <c r="O65" s="283">
        <v>16.100000000000001</v>
      </c>
      <c r="P65" s="153">
        <v>7.46</v>
      </c>
      <c r="R65" s="91" t="s">
        <v>251</v>
      </c>
      <c r="S65" s="441">
        <f>AVERAGE(M61:M70)</f>
        <v>61.98</v>
      </c>
    </row>
    <row r="66" spans="11:19">
      <c r="K66" s="96" t="s">
        <v>141</v>
      </c>
      <c r="L66" s="98"/>
      <c r="M66" s="440">
        <v>61.9</v>
      </c>
      <c r="N66" s="153">
        <v>8.3800000000000008</v>
      </c>
      <c r="O66" s="283">
        <v>16</v>
      </c>
      <c r="P66" s="153">
        <v>7.45</v>
      </c>
    </row>
    <row r="67" spans="11:19">
      <c r="K67" s="96" t="s">
        <v>238</v>
      </c>
      <c r="L67" s="98"/>
      <c r="M67" s="440">
        <v>61.8</v>
      </c>
      <c r="N67" s="153">
        <v>8.18</v>
      </c>
      <c r="O67" s="283">
        <v>16</v>
      </c>
      <c r="P67" s="153">
        <v>7.4</v>
      </c>
    </row>
    <row r="68" spans="11:19">
      <c r="K68" s="96" t="s">
        <v>142</v>
      </c>
      <c r="L68" s="98"/>
      <c r="M68" s="440">
        <v>61.9</v>
      </c>
      <c r="N68" s="190">
        <v>8.19</v>
      </c>
      <c r="O68" s="283">
        <v>15.9</v>
      </c>
      <c r="P68" s="153">
        <v>7.36</v>
      </c>
    </row>
    <row r="69" spans="11:19">
      <c r="K69" s="96" t="s">
        <v>143</v>
      </c>
      <c r="L69" s="98"/>
      <c r="M69" s="440">
        <v>61.9</v>
      </c>
      <c r="N69" s="153">
        <v>7.42</v>
      </c>
      <c r="O69" s="283">
        <v>15.6</v>
      </c>
      <c r="P69" s="153">
        <v>7.36</v>
      </c>
    </row>
    <row r="70" spans="11:19">
      <c r="K70" s="96" t="s">
        <v>144</v>
      </c>
      <c r="L70" s="98"/>
      <c r="M70" s="440">
        <v>62.6</v>
      </c>
      <c r="N70" s="153">
        <v>6.97</v>
      </c>
      <c r="O70" s="283">
        <v>15.3</v>
      </c>
      <c r="P70" s="189">
        <v>7.31</v>
      </c>
    </row>
    <row r="71" spans="11:19">
      <c r="K71" s="100" t="s">
        <v>132</v>
      </c>
      <c r="L71" s="2074">
        <v>43747</v>
      </c>
      <c r="M71" s="2100"/>
    </row>
    <row r="72" spans="11:19">
      <c r="K72" s="95" t="s">
        <v>248</v>
      </c>
      <c r="L72" s="101" t="s">
        <v>134</v>
      </c>
      <c r="M72" s="101" t="s">
        <v>135</v>
      </c>
      <c r="N72" s="101" t="s">
        <v>136</v>
      </c>
      <c r="O72" s="101" t="s">
        <v>137</v>
      </c>
      <c r="P72" s="101" t="s">
        <v>138</v>
      </c>
      <c r="Q72" s="95" t="s">
        <v>148</v>
      </c>
      <c r="R72" s="95" t="s">
        <v>156</v>
      </c>
    </row>
    <row r="73" spans="11:19">
      <c r="K73" s="96" t="s">
        <v>235</v>
      </c>
      <c r="L73" s="97">
        <v>4.1666666666666664E-2</v>
      </c>
      <c r="M73" s="440">
        <v>65.3</v>
      </c>
      <c r="N73" s="153">
        <v>9.08</v>
      </c>
      <c r="O73" s="283">
        <v>12.4</v>
      </c>
      <c r="P73" s="153">
        <v>7.22</v>
      </c>
      <c r="Q73" s="564">
        <v>1.1000000000000001</v>
      </c>
      <c r="R73" s="564">
        <v>6</v>
      </c>
    </row>
    <row r="74" spans="11:19">
      <c r="K74" s="96" t="s">
        <v>139</v>
      </c>
      <c r="L74" s="98"/>
      <c r="M74" s="440">
        <v>65.3</v>
      </c>
      <c r="N74" s="153">
        <v>9.4600000000000009</v>
      </c>
      <c r="O74" s="283">
        <v>12.3</v>
      </c>
      <c r="P74" s="153">
        <v>7.26</v>
      </c>
      <c r="R74" s="91" t="s">
        <v>249</v>
      </c>
      <c r="S74" s="107">
        <f>AVERAGE(N73:N76)</f>
        <v>9.43</v>
      </c>
    </row>
    <row r="75" spans="11:19">
      <c r="K75" s="96" t="s">
        <v>236</v>
      </c>
      <c r="L75" s="98"/>
      <c r="M75" s="440">
        <v>65.2</v>
      </c>
      <c r="N75" s="153">
        <v>9.4700000000000006</v>
      </c>
      <c r="O75" s="283">
        <v>11.8</v>
      </c>
      <c r="P75" s="153">
        <v>7.19</v>
      </c>
      <c r="R75" s="91" t="s">
        <v>242</v>
      </c>
      <c r="S75" s="107">
        <f>AVERAGE(O73:O76)</f>
        <v>11.925000000000001</v>
      </c>
    </row>
    <row r="76" spans="11:19">
      <c r="K76" s="96" t="s">
        <v>140</v>
      </c>
      <c r="L76" s="98"/>
      <c r="M76" s="440">
        <v>65.2</v>
      </c>
      <c r="N76" s="153">
        <v>9.7100000000000009</v>
      </c>
      <c r="O76" s="283">
        <v>11.2</v>
      </c>
      <c r="P76" s="153">
        <v>7.18</v>
      </c>
      <c r="R76" s="91" t="s">
        <v>250</v>
      </c>
      <c r="S76" s="107">
        <f>AVERAGE(P73:P82)</f>
        <v>7.1480000000000006</v>
      </c>
    </row>
    <row r="77" spans="11:19">
      <c r="K77" s="96" t="s">
        <v>237</v>
      </c>
      <c r="L77" s="98"/>
      <c r="M77" s="440">
        <v>65.2</v>
      </c>
      <c r="N77" s="153">
        <v>9.61</v>
      </c>
      <c r="O77" s="283">
        <v>11.1</v>
      </c>
      <c r="P77" s="153">
        <v>7.13</v>
      </c>
      <c r="R77" s="91" t="s">
        <v>251</v>
      </c>
      <c r="S77" s="441">
        <f>AVERAGE(M73:M82)</f>
        <v>65.22</v>
      </c>
    </row>
    <row r="78" spans="11:19">
      <c r="K78" s="96" t="s">
        <v>141</v>
      </c>
      <c r="L78" s="98"/>
      <c r="M78" s="440">
        <v>65.2</v>
      </c>
      <c r="N78" s="153">
        <v>9.61</v>
      </c>
      <c r="O78" s="283">
        <v>11.1</v>
      </c>
      <c r="P78" s="153">
        <v>7.13</v>
      </c>
    </row>
    <row r="79" spans="11:19">
      <c r="K79" s="96" t="s">
        <v>238</v>
      </c>
      <c r="L79" s="98"/>
      <c r="M79" s="440">
        <v>65.2</v>
      </c>
      <c r="N79" s="190">
        <v>9.32</v>
      </c>
      <c r="O79" s="283">
        <v>11</v>
      </c>
      <c r="P79" s="153">
        <v>7.11</v>
      </c>
    </row>
    <row r="80" spans="11:19">
      <c r="K80" s="96" t="s">
        <v>142</v>
      </c>
      <c r="L80" s="98"/>
      <c r="M80" s="440">
        <v>65.2</v>
      </c>
      <c r="N80" s="153">
        <v>9.41</v>
      </c>
      <c r="O80" s="283">
        <v>11</v>
      </c>
      <c r="P80" s="153">
        <v>7.1</v>
      </c>
    </row>
    <row r="81" spans="11:16">
      <c r="K81" s="96" t="s">
        <v>143</v>
      </c>
      <c r="L81" s="98"/>
      <c r="M81" s="440">
        <v>65.2</v>
      </c>
      <c r="N81" s="153">
        <v>9.4499999999999993</v>
      </c>
      <c r="O81" s="283">
        <v>11</v>
      </c>
      <c r="P81" s="153">
        <v>7.08</v>
      </c>
    </row>
    <row r="82" spans="11:16">
      <c r="K82" s="96" t="s">
        <v>144</v>
      </c>
      <c r="L82" s="98"/>
      <c r="M82" s="440">
        <v>65.2</v>
      </c>
      <c r="N82" s="189">
        <v>9.15</v>
      </c>
      <c r="O82" s="283">
        <v>10.7</v>
      </c>
      <c r="P82" s="189">
        <v>7.08</v>
      </c>
    </row>
    <row r="100" spans="1:8">
      <c r="F100" s="2141">
        <v>43656</v>
      </c>
      <c r="G100" s="2141">
        <v>43691</v>
      </c>
      <c r="H100" s="2141">
        <v>43719</v>
      </c>
    </row>
    <row r="101" spans="1:8">
      <c r="D101" s="2498" t="s">
        <v>1409</v>
      </c>
      <c r="E101" s="2498"/>
      <c r="F101" s="2143">
        <v>782.56401617250469</v>
      </c>
      <c r="G101" s="2143">
        <v>599.15458937197911</v>
      </c>
      <c r="H101" s="2143">
        <v>1440.6944444444321</v>
      </c>
    </row>
    <row r="102" spans="1:8" ht="13.5">
      <c r="D102" s="2498" t="s">
        <v>1856</v>
      </c>
      <c r="E102" s="2498"/>
      <c r="F102" s="2143">
        <v>263518.93530997157</v>
      </c>
      <c r="G102" s="2143">
        <v>126196.93538647357</v>
      </c>
      <c r="H102" s="2143">
        <v>1186083.0208333377</v>
      </c>
    </row>
    <row r="103" spans="1:8">
      <c r="D103" s="2498" t="s">
        <v>1411</v>
      </c>
      <c r="E103" s="2498"/>
      <c r="F103" s="2144">
        <v>40.244640350341797</v>
      </c>
      <c r="G103" s="2144">
        <v>34.961990356445313</v>
      </c>
      <c r="H103" s="2144">
        <v>51.076820373535156</v>
      </c>
    </row>
    <row r="104" spans="1:8" ht="14" customHeight="1">
      <c r="D104" s="2499" t="s">
        <v>1855</v>
      </c>
      <c r="E104" s="2499"/>
      <c r="F104" s="1851">
        <v>30</v>
      </c>
      <c r="G104" s="1851">
        <v>19</v>
      </c>
      <c r="H104" s="1851">
        <v>16</v>
      </c>
    </row>
    <row r="105" spans="1:8" ht="14" customHeight="1">
      <c r="D105" s="2497" t="s">
        <v>1421</v>
      </c>
      <c r="E105" s="2497"/>
      <c r="F105" s="1851">
        <v>24</v>
      </c>
      <c r="G105" s="1851">
        <v>14</v>
      </c>
      <c r="H105" s="1851">
        <v>11</v>
      </c>
    </row>
    <row r="106" spans="1:8">
      <c r="D106" s="2497" t="s">
        <v>1419</v>
      </c>
      <c r="E106" s="2497"/>
      <c r="F106" s="1851">
        <v>2</v>
      </c>
      <c r="G106" s="1851">
        <v>2</v>
      </c>
      <c r="H106" s="1851">
        <v>2</v>
      </c>
    </row>
    <row r="107" spans="1:8">
      <c r="D107" s="2497" t="s">
        <v>1424</v>
      </c>
      <c r="E107" s="2497"/>
      <c r="F107" s="1851">
        <v>3</v>
      </c>
      <c r="G107" s="1851">
        <v>2</v>
      </c>
      <c r="H107" s="1851">
        <v>2</v>
      </c>
    </row>
    <row r="108" spans="1:8" ht="14" customHeight="1">
      <c r="D108" s="2497" t="s">
        <v>1427</v>
      </c>
      <c r="E108" s="2497"/>
      <c r="F108" s="1851">
        <v>1</v>
      </c>
      <c r="G108" s="1851"/>
      <c r="H108" s="1851">
        <v>1</v>
      </c>
    </row>
    <row r="109" spans="1:8" ht="14" customHeight="1">
      <c r="A109" s="1313"/>
      <c r="B109" s="505"/>
      <c r="C109" s="505"/>
      <c r="D109" s="505"/>
      <c r="E109" s="505"/>
      <c r="F109" s="505"/>
      <c r="G109" s="505"/>
      <c r="H109" s="505"/>
    </row>
    <row r="110" spans="1:8" ht="14" customHeight="1">
      <c r="A110" s="436"/>
      <c r="B110" s="436"/>
      <c r="C110" s="436"/>
      <c r="D110" s="436"/>
      <c r="E110" s="436"/>
      <c r="F110" s="436"/>
      <c r="G110" s="505"/>
      <c r="H110" s="505"/>
    </row>
    <row r="111" spans="1:8" ht="14">
      <c r="A111" s="2102"/>
      <c r="B111" s="2105"/>
      <c r="C111" s="2102"/>
      <c r="D111" s="2102"/>
      <c r="E111" s="2102"/>
      <c r="F111" s="2102"/>
      <c r="G111" s="2102"/>
      <c r="H111" s="2102"/>
    </row>
    <row r="112" spans="1:8" ht="14" customHeight="1">
      <c r="A112" s="1310"/>
      <c r="B112" s="1311"/>
      <c r="C112" s="1807"/>
      <c r="D112" s="1807"/>
      <c r="E112" s="1807"/>
      <c r="F112" s="1807"/>
      <c r="G112" s="1807"/>
      <c r="H112" s="1807"/>
    </row>
    <row r="113" spans="1:11">
      <c r="A113" s="2102"/>
      <c r="B113" s="2108" t="s">
        <v>1428</v>
      </c>
      <c r="C113" s="2075" t="s">
        <v>471</v>
      </c>
      <c r="D113" s="2102"/>
      <c r="E113" s="2102"/>
      <c r="F113" s="2102"/>
      <c r="G113" s="2102"/>
      <c r="H113" s="2102"/>
    </row>
    <row r="114" spans="1:11">
      <c r="A114" s="2102"/>
      <c r="B114" s="2108" t="s">
        <v>1429</v>
      </c>
      <c r="C114" s="2114" t="s">
        <v>1203</v>
      </c>
      <c r="D114" s="2102"/>
      <c r="E114" s="2102"/>
      <c r="F114" s="2102"/>
      <c r="G114" s="2102"/>
      <c r="H114" s="2102"/>
      <c r="K114" s="505"/>
    </row>
    <row r="115" spans="1:11">
      <c r="A115" s="2102"/>
      <c r="B115" s="2108" t="s">
        <v>1407</v>
      </c>
      <c r="C115" s="2114"/>
      <c r="D115" s="2102"/>
      <c r="E115" s="2102"/>
      <c r="F115" s="2102"/>
      <c r="G115" s="2102"/>
      <c r="H115" s="2102"/>
      <c r="K115" s="505"/>
    </row>
    <row r="116" spans="1:11">
      <c r="A116" s="2102"/>
      <c r="B116" s="2108" t="s">
        <v>1408</v>
      </c>
      <c r="C116" s="2109">
        <v>43691</v>
      </c>
      <c r="D116" s="2102"/>
      <c r="E116" s="2102"/>
      <c r="F116" s="2102"/>
      <c r="G116" s="2102"/>
      <c r="H116" s="2102"/>
      <c r="K116" s="505"/>
    </row>
    <row r="117" spans="1:11">
      <c r="A117" s="2102"/>
      <c r="B117" s="2108"/>
      <c r="C117" s="2102"/>
      <c r="D117" s="2102"/>
      <c r="E117" s="2102"/>
      <c r="F117" s="2102"/>
      <c r="G117" s="2102"/>
      <c r="H117" s="2102"/>
    </row>
    <row r="118" spans="1:11">
      <c r="A118" s="2102"/>
      <c r="B118" s="2108" t="s">
        <v>1409</v>
      </c>
      <c r="C118" s="2111">
        <v>599.15458937197911</v>
      </c>
      <c r="D118" s="2102"/>
      <c r="E118" s="2102"/>
      <c r="F118" s="2102"/>
      <c r="G118" s="2102"/>
      <c r="H118" s="2102"/>
    </row>
    <row r="119" spans="1:11" ht="15">
      <c r="A119" s="2102"/>
      <c r="B119" s="2108" t="s">
        <v>1410</v>
      </c>
      <c r="C119" s="2111">
        <v>126196.93538647357</v>
      </c>
      <c r="D119" s="2102"/>
      <c r="E119" s="2102"/>
      <c r="F119" s="2102"/>
      <c r="G119" s="2102"/>
      <c r="H119" s="2102"/>
    </row>
    <row r="120" spans="1:11">
      <c r="A120" s="2102"/>
      <c r="B120" s="2108" t="s">
        <v>1411</v>
      </c>
      <c r="C120" s="2112">
        <v>34.961990356445313</v>
      </c>
      <c r="D120" s="2102"/>
      <c r="E120" s="2102"/>
      <c r="F120" s="2102"/>
      <c r="G120" s="2102"/>
      <c r="H120" s="2102"/>
    </row>
    <row r="121" spans="1:11">
      <c r="A121" s="1807"/>
      <c r="B121" s="1312"/>
      <c r="C121" s="1222"/>
      <c r="D121" s="1312"/>
      <c r="E121" s="1222"/>
      <c r="F121" s="1807"/>
      <c r="G121" s="1807"/>
    </row>
    <row r="122" spans="1:11">
      <c r="A122" s="2102"/>
      <c r="B122" s="2142">
        <v>43691</v>
      </c>
      <c r="C122" s="2108" t="s">
        <v>1412</v>
      </c>
      <c r="D122" s="2108" t="s">
        <v>1412</v>
      </c>
      <c r="E122" s="2108" t="s">
        <v>1413</v>
      </c>
      <c r="F122" s="2108" t="s">
        <v>1413</v>
      </c>
      <c r="G122" s="2102"/>
      <c r="H122" s="2102"/>
    </row>
    <row r="123" spans="1:11" ht="15">
      <c r="A123" s="2102"/>
      <c r="B123" s="2104" t="s">
        <v>1414</v>
      </c>
      <c r="C123" s="2108" t="s">
        <v>1415</v>
      </c>
      <c r="D123" s="2108" t="s">
        <v>1416</v>
      </c>
      <c r="E123" s="2108" t="s">
        <v>1417</v>
      </c>
      <c r="F123" s="2108" t="s">
        <v>1416</v>
      </c>
      <c r="G123" s="2113" t="s">
        <v>1418</v>
      </c>
    </row>
    <row r="124" spans="1:11">
      <c r="A124" s="2103" t="s">
        <v>1823</v>
      </c>
      <c r="B124" s="2103" t="s">
        <v>1823</v>
      </c>
      <c r="C124" s="2103" t="s">
        <v>1823</v>
      </c>
      <c r="D124" s="2103" t="s">
        <v>1823</v>
      </c>
      <c r="E124" s="2103" t="s">
        <v>1823</v>
      </c>
      <c r="F124" s="2103" t="s">
        <v>1823</v>
      </c>
      <c r="G124" s="2103" t="s">
        <v>1823</v>
      </c>
    </row>
    <row r="125" spans="1:11">
      <c r="A125" s="2102">
        <v>1</v>
      </c>
      <c r="B125" s="2110" t="s">
        <v>1830</v>
      </c>
      <c r="C125" s="2106">
        <v>6.8085748792270531</v>
      </c>
      <c r="D125" s="2107">
        <v>1.1363636363636394</v>
      </c>
      <c r="E125" s="2106">
        <v>578.72886473429946</v>
      </c>
      <c r="F125" s="2107">
        <v>0.45859185325060642</v>
      </c>
      <c r="G125" s="2102" t="s">
        <v>1424</v>
      </c>
    </row>
    <row r="126" spans="1:11">
      <c r="A126" s="2102">
        <v>2</v>
      </c>
      <c r="B126" s="2110" t="s">
        <v>1832</v>
      </c>
      <c r="C126" s="2106">
        <v>6.8085748792270531</v>
      </c>
      <c r="D126" s="2107">
        <v>1.1363636363636394</v>
      </c>
      <c r="E126" s="2106">
        <v>428.94021739130432</v>
      </c>
      <c r="F126" s="2107">
        <v>0.33989749123280238</v>
      </c>
      <c r="G126" s="2102" t="s">
        <v>1424</v>
      </c>
    </row>
    <row r="127" spans="1:11">
      <c r="A127" s="2102">
        <v>3</v>
      </c>
      <c r="B127" s="2110" t="s">
        <v>973</v>
      </c>
      <c r="C127" s="2106">
        <v>40.85144927536232</v>
      </c>
      <c r="D127" s="2107">
        <v>6.8181818181818361</v>
      </c>
      <c r="E127" s="2106">
        <v>21242.753623188408</v>
      </c>
      <c r="F127" s="2107">
        <v>16.833018613434025</v>
      </c>
      <c r="G127" s="2102" t="s">
        <v>1419</v>
      </c>
    </row>
    <row r="128" spans="1:11">
      <c r="A128" s="2102">
        <v>4</v>
      </c>
      <c r="B128" s="2110" t="s">
        <v>1426</v>
      </c>
      <c r="C128" s="2106">
        <v>95.320048309178745</v>
      </c>
      <c r="D128" s="2107">
        <v>15.909090909090951</v>
      </c>
      <c r="E128" s="2106">
        <v>1906.4009661835748</v>
      </c>
      <c r="F128" s="2107">
        <v>1.5106555165902329</v>
      </c>
      <c r="G128" s="2102" t="s">
        <v>1419</v>
      </c>
    </row>
    <row r="129" spans="1:7">
      <c r="A129" s="2102">
        <v>5</v>
      </c>
      <c r="B129" s="2110" t="s">
        <v>1828</v>
      </c>
      <c r="C129" s="2106">
        <v>6.8085748792270531</v>
      </c>
      <c r="D129" s="2107">
        <v>1.1363636363636394</v>
      </c>
      <c r="E129" s="2106">
        <v>1021.286231884058</v>
      </c>
      <c r="F129" s="2107">
        <v>0.80927974103048206</v>
      </c>
      <c r="G129" s="2102" t="s">
        <v>1421</v>
      </c>
    </row>
    <row r="130" spans="1:7">
      <c r="A130" s="2102">
        <v>6</v>
      </c>
      <c r="B130" s="2110" t="s">
        <v>1825</v>
      </c>
      <c r="C130" s="2106">
        <v>13.617149758454106</v>
      </c>
      <c r="D130" s="2107">
        <v>2.2727272727272787</v>
      </c>
      <c r="E130" s="2106">
        <v>2451.086956521739</v>
      </c>
      <c r="F130" s="2107">
        <v>1.9422713784731567</v>
      </c>
      <c r="G130" s="2102" t="s">
        <v>1421</v>
      </c>
    </row>
    <row r="131" spans="1:7">
      <c r="A131" s="2102">
        <v>7</v>
      </c>
      <c r="B131" s="2110" t="s">
        <v>1824</v>
      </c>
      <c r="C131" s="2106">
        <v>20.42572463768116</v>
      </c>
      <c r="D131" s="2107">
        <v>3.4090909090909181</v>
      </c>
      <c r="E131" s="2106">
        <v>2696.195652173913</v>
      </c>
      <c r="F131" s="2107">
        <v>2.1364985163204722</v>
      </c>
      <c r="G131" s="2102" t="s">
        <v>1421</v>
      </c>
    </row>
    <row r="132" spans="1:7">
      <c r="A132" s="2102">
        <v>8</v>
      </c>
      <c r="B132" s="2110" t="s">
        <v>1829</v>
      </c>
      <c r="C132" s="2106">
        <v>6.8085748792270531</v>
      </c>
      <c r="D132" s="2107">
        <v>1.1363636363636394</v>
      </c>
      <c r="E132" s="2106">
        <v>646.81461352657004</v>
      </c>
      <c r="F132" s="2107">
        <v>0.51254383598597186</v>
      </c>
      <c r="G132" s="2102" t="s">
        <v>1421</v>
      </c>
    </row>
    <row r="133" spans="1:7">
      <c r="A133" s="2102">
        <v>9</v>
      </c>
      <c r="B133" s="2110" t="s">
        <v>1422</v>
      </c>
      <c r="C133" s="2106">
        <v>258.72584541062804</v>
      </c>
      <c r="D133" s="2107">
        <v>43.181818181818301</v>
      </c>
      <c r="E133" s="2106">
        <v>12936.292270531401</v>
      </c>
      <c r="F133" s="2107">
        <v>10.250876719719439</v>
      </c>
      <c r="G133" s="2102" t="s">
        <v>1421</v>
      </c>
    </row>
    <row r="134" spans="1:7">
      <c r="A134" s="2102">
        <v>10</v>
      </c>
      <c r="B134" s="2110" t="s">
        <v>1420</v>
      </c>
      <c r="C134" s="2106">
        <v>27.234299516908212</v>
      </c>
      <c r="D134" s="2107">
        <v>4.5454545454545574</v>
      </c>
      <c r="E134" s="2106">
        <v>7189.8550724637671</v>
      </c>
      <c r="F134" s="2107">
        <v>5.6973293768545918</v>
      </c>
      <c r="G134" s="2102" t="s">
        <v>1421</v>
      </c>
    </row>
    <row r="135" spans="1:7">
      <c r="A135" s="2102">
        <v>11</v>
      </c>
      <c r="B135" s="2110" t="s">
        <v>1834</v>
      </c>
      <c r="C135" s="2106">
        <v>6.8085748792270531</v>
      </c>
      <c r="D135" s="2107">
        <v>1.1363636363636394</v>
      </c>
      <c r="E135" s="2106">
        <v>1906.4009661835748</v>
      </c>
      <c r="F135" s="2107">
        <v>1.5106555165902329</v>
      </c>
      <c r="G135" s="2102" t="s">
        <v>1421</v>
      </c>
    </row>
    <row r="136" spans="1:7">
      <c r="A136" s="2102">
        <v>12</v>
      </c>
      <c r="B136" s="2110" t="s">
        <v>1425</v>
      </c>
      <c r="C136" s="2106">
        <v>40.85144927536232</v>
      </c>
      <c r="D136" s="2107">
        <v>6.8181818181818361</v>
      </c>
      <c r="E136" s="2106">
        <v>15115.036231884058</v>
      </c>
      <c r="F136" s="2107">
        <v>11.977340167251132</v>
      </c>
      <c r="G136" s="2102" t="s">
        <v>1421</v>
      </c>
    </row>
    <row r="137" spans="1:7">
      <c r="A137" s="2102">
        <v>13</v>
      </c>
      <c r="B137" s="2110" t="s">
        <v>1831</v>
      </c>
      <c r="C137" s="2106">
        <v>6.8085748792270531</v>
      </c>
      <c r="D137" s="2107">
        <v>1.1363636363636394</v>
      </c>
      <c r="E137" s="2106">
        <v>1960.8695652173913</v>
      </c>
      <c r="F137" s="2107">
        <v>1.5538171027785252</v>
      </c>
      <c r="G137" s="2102" t="s">
        <v>1421</v>
      </c>
    </row>
    <row r="138" spans="1:7">
      <c r="A138" s="2102">
        <v>14</v>
      </c>
      <c r="B138" s="2110" t="s">
        <v>1430</v>
      </c>
      <c r="C138" s="2106">
        <v>13.617149758454106</v>
      </c>
      <c r="D138" s="2107">
        <v>2.2727272727272787</v>
      </c>
      <c r="E138" s="2106">
        <v>23830.012077294687</v>
      </c>
      <c r="F138" s="2107">
        <v>18.883193957377912</v>
      </c>
      <c r="G138" s="2102" t="s">
        <v>1421</v>
      </c>
    </row>
    <row r="139" spans="1:7">
      <c r="A139" s="2102">
        <v>15</v>
      </c>
      <c r="B139" s="2110" t="s">
        <v>975</v>
      </c>
      <c r="C139" s="2106">
        <v>13.617149758454106</v>
      </c>
      <c r="D139" s="2107">
        <v>2.2727272727272787</v>
      </c>
      <c r="E139" s="2106">
        <v>14978.864734299517</v>
      </c>
      <c r="F139" s="2107">
        <v>11.869436201780402</v>
      </c>
      <c r="G139" s="2102" t="s">
        <v>1421</v>
      </c>
    </row>
    <row r="140" spans="1:7">
      <c r="A140" s="2102">
        <v>16</v>
      </c>
      <c r="B140" s="2110" t="s">
        <v>1833</v>
      </c>
      <c r="C140" s="2106">
        <v>6.8085748792270531</v>
      </c>
      <c r="D140" s="2107">
        <v>1.1363636363636394</v>
      </c>
      <c r="E140" s="2106">
        <v>306.38586956521738</v>
      </c>
      <c r="F140" s="2107">
        <v>0.24278392230914458</v>
      </c>
      <c r="G140" s="2102" t="s">
        <v>1421</v>
      </c>
    </row>
    <row r="141" spans="1:7">
      <c r="A141" s="2102">
        <v>17</v>
      </c>
      <c r="B141" s="2110" t="s">
        <v>1826</v>
      </c>
      <c r="C141" s="2106">
        <v>13.617149758454106</v>
      </c>
      <c r="D141" s="2107">
        <v>2.2727272727272787</v>
      </c>
      <c r="E141" s="2106">
        <v>15251.207729468599</v>
      </c>
      <c r="F141" s="2107">
        <v>12.085244132721863</v>
      </c>
      <c r="G141" s="2102" t="s">
        <v>1421</v>
      </c>
    </row>
    <row r="142" spans="1:7">
      <c r="A142" s="2102">
        <v>18</v>
      </c>
      <c r="B142" s="2110" t="s">
        <v>1827</v>
      </c>
      <c r="C142" s="2106">
        <v>6.8085748792270531</v>
      </c>
      <c r="D142" s="2107">
        <v>1.1363636363636394</v>
      </c>
      <c r="E142" s="2106">
        <v>796.60326086956525</v>
      </c>
      <c r="F142" s="2107">
        <v>0.6312381980037759</v>
      </c>
      <c r="G142" s="2102" t="s">
        <v>1421</v>
      </c>
    </row>
    <row r="143" spans="1:7">
      <c r="A143" s="2102">
        <v>19</v>
      </c>
      <c r="B143" s="2110" t="s">
        <v>1432</v>
      </c>
      <c r="C143" s="2106">
        <v>6.8085748792270531</v>
      </c>
      <c r="D143" s="2107">
        <v>1.1363636363636394</v>
      </c>
      <c r="E143" s="2106">
        <v>953.20048309178742</v>
      </c>
      <c r="F143" s="2107">
        <v>0.75532775829511645</v>
      </c>
      <c r="G143" s="2102" t="s">
        <v>1421</v>
      </c>
    </row>
    <row r="145" spans="1:18" ht="14">
      <c r="A145" s="2115"/>
      <c r="B145" s="2120" t="s">
        <v>1428</v>
      </c>
      <c r="C145" s="2122" t="s">
        <v>471</v>
      </c>
      <c r="D145" s="2115"/>
      <c r="E145" s="2115"/>
      <c r="F145" s="2115"/>
      <c r="G145" s="2115"/>
      <c r="H145" s="2115"/>
      <c r="K145" s="2101"/>
      <c r="L145" s="2130"/>
      <c r="M145" s="2101"/>
      <c r="N145" s="2101"/>
      <c r="O145" s="2101"/>
      <c r="P145" s="2101"/>
      <c r="Q145" s="2101"/>
      <c r="R145" s="2101"/>
    </row>
    <row r="146" spans="1:18">
      <c r="A146" s="2115"/>
      <c r="B146" s="2120" t="s">
        <v>1429</v>
      </c>
      <c r="C146" s="2127" t="s">
        <v>1203</v>
      </c>
      <c r="D146" s="2115"/>
      <c r="E146" s="2115"/>
      <c r="F146" s="2115"/>
      <c r="G146" s="2115"/>
      <c r="H146" s="2115"/>
    </row>
    <row r="147" spans="1:18">
      <c r="A147" s="2115"/>
      <c r="B147" s="2120" t="s">
        <v>1407</v>
      </c>
      <c r="C147" s="2127"/>
      <c r="D147" s="2115"/>
      <c r="E147" s="2115"/>
      <c r="F147" s="2115"/>
      <c r="G147" s="2115"/>
      <c r="H147" s="2115"/>
      <c r="Q147" s="2101"/>
      <c r="R147" s="2101"/>
    </row>
    <row r="148" spans="1:18">
      <c r="A148" s="2115"/>
      <c r="B148" s="2120" t="s">
        <v>1408</v>
      </c>
      <c r="C148" s="2121">
        <v>43719</v>
      </c>
      <c r="D148" s="2115"/>
      <c r="E148" s="2115"/>
      <c r="F148" s="2115"/>
      <c r="G148" s="2115"/>
      <c r="H148" s="2115"/>
      <c r="Q148" s="2101"/>
      <c r="R148" s="2101"/>
    </row>
    <row r="149" spans="1:18">
      <c r="A149" s="2115"/>
      <c r="B149" s="2120"/>
      <c r="C149" s="2115"/>
      <c r="D149" s="2115"/>
      <c r="E149" s="2115"/>
      <c r="F149" s="2115"/>
      <c r="G149" s="2115"/>
      <c r="H149" s="2115"/>
      <c r="Q149" s="2101"/>
      <c r="R149" s="2101"/>
    </row>
    <row r="150" spans="1:18">
      <c r="A150" s="2115"/>
      <c r="B150" s="2120" t="s">
        <v>1409</v>
      </c>
      <c r="C150" s="2124">
        <v>1440.6944444444321</v>
      </c>
      <c r="D150" s="2115"/>
      <c r="E150" s="2115"/>
      <c r="F150" s="2115"/>
      <c r="G150" s="2115"/>
      <c r="H150" s="2115"/>
      <c r="Q150" s="2101"/>
      <c r="R150" s="2101"/>
    </row>
    <row r="151" spans="1:18" ht="15">
      <c r="A151" s="2115"/>
      <c r="B151" s="2120" t="s">
        <v>1410</v>
      </c>
      <c r="C151" s="2124">
        <v>1186083.0208333377</v>
      </c>
      <c r="D151" s="2115"/>
      <c r="E151" s="2115"/>
      <c r="F151" s="2115"/>
      <c r="G151" s="2115"/>
      <c r="H151" s="2115"/>
      <c r="Q151" s="2101"/>
      <c r="R151" s="2101"/>
    </row>
    <row r="152" spans="1:18">
      <c r="A152" s="2115"/>
      <c r="B152" s="2120" t="s">
        <v>1411</v>
      </c>
      <c r="C152" s="2125">
        <v>51.076820373535156</v>
      </c>
      <c r="D152" s="2115"/>
      <c r="E152" s="2115"/>
      <c r="F152" s="2115"/>
      <c r="G152" s="2115"/>
      <c r="H152" s="2115"/>
      <c r="Q152" s="2101"/>
      <c r="R152" s="2101"/>
    </row>
    <row r="153" spans="1:18">
      <c r="Q153" s="2101"/>
      <c r="R153" s="2101"/>
    </row>
    <row r="154" spans="1:18">
      <c r="A154" s="2115"/>
      <c r="B154" s="2142">
        <v>43719</v>
      </c>
      <c r="C154" s="2120" t="s">
        <v>1412</v>
      </c>
      <c r="D154" s="2120" t="s">
        <v>1412</v>
      </c>
      <c r="E154" s="2120" t="s">
        <v>1413</v>
      </c>
      <c r="F154" s="2120" t="s">
        <v>1413</v>
      </c>
      <c r="G154" s="2115"/>
      <c r="H154" s="2115"/>
      <c r="Q154" s="2101"/>
      <c r="R154" s="2101"/>
    </row>
    <row r="155" spans="1:18" ht="15">
      <c r="A155" s="2115"/>
      <c r="B155" s="2117" t="s">
        <v>1414</v>
      </c>
      <c r="C155" s="2120" t="s">
        <v>1415</v>
      </c>
      <c r="D155" s="2120" t="s">
        <v>1416</v>
      </c>
      <c r="E155" s="2120" t="s">
        <v>1417</v>
      </c>
      <c r="F155" s="2120" t="s">
        <v>1416</v>
      </c>
      <c r="G155" s="2126" t="s">
        <v>1418</v>
      </c>
    </row>
    <row r="156" spans="1:18" ht="14">
      <c r="A156" s="2116" t="s">
        <v>1823</v>
      </c>
      <c r="B156" s="2116" t="s">
        <v>1823</v>
      </c>
      <c r="C156" s="2116" t="s">
        <v>1823</v>
      </c>
      <c r="D156" s="2116" t="s">
        <v>1823</v>
      </c>
      <c r="E156" s="2116" t="s">
        <v>1823</v>
      </c>
      <c r="F156" s="2116" t="s">
        <v>1823</v>
      </c>
      <c r="G156" s="2116" t="s">
        <v>1823</v>
      </c>
      <c r="K156" s="139" t="s">
        <v>1414</v>
      </c>
      <c r="L156" s="139" t="s">
        <v>1418</v>
      </c>
      <c r="Q156" s="2101"/>
      <c r="R156" s="2101"/>
    </row>
    <row r="157" spans="1:18">
      <c r="A157" s="2115">
        <v>1</v>
      </c>
      <c r="B157" s="2123" t="s">
        <v>1832</v>
      </c>
      <c r="C157" s="2118">
        <v>31.319444444444443</v>
      </c>
      <c r="D157" s="2119">
        <v>2.1739130434782794</v>
      </c>
      <c r="E157" s="2118">
        <v>1973.125</v>
      </c>
      <c r="F157" s="2119">
        <v>0.16635639878005246</v>
      </c>
      <c r="G157" s="2115" t="s">
        <v>1424</v>
      </c>
      <c r="K157" s="2145" t="s">
        <v>973</v>
      </c>
      <c r="L157" s="2145" t="s">
        <v>1419</v>
      </c>
      <c r="Q157" s="2101"/>
    </row>
    <row r="158" spans="1:18">
      <c r="A158" s="2115">
        <v>2</v>
      </c>
      <c r="B158" s="2123" t="s">
        <v>1835</v>
      </c>
      <c r="C158" s="2118">
        <v>93.958333333333329</v>
      </c>
      <c r="D158" s="2119">
        <v>6.5217391304348382</v>
      </c>
      <c r="E158" s="2118">
        <v>5919.375</v>
      </c>
      <c r="F158" s="2119">
        <v>0.49906919634015739</v>
      </c>
      <c r="G158" s="2115" t="s">
        <v>1424</v>
      </c>
      <c r="K158" s="2145" t="s">
        <v>1422</v>
      </c>
      <c r="L158" s="2145" t="s">
        <v>1421</v>
      </c>
      <c r="Q158" s="2101"/>
    </row>
    <row r="159" spans="1:18">
      <c r="A159" s="2115">
        <v>3</v>
      </c>
      <c r="B159" s="2123" t="s">
        <v>973</v>
      </c>
      <c r="C159" s="2118">
        <v>46.979166666666664</v>
      </c>
      <c r="D159" s="2119">
        <v>3.2608695652174191</v>
      </c>
      <c r="E159" s="2118">
        <v>24429.166666666664</v>
      </c>
      <c r="F159" s="2119">
        <v>2.0596506515625541</v>
      </c>
      <c r="G159" s="2115" t="s">
        <v>1419</v>
      </c>
      <c r="K159" s="2145" t="s">
        <v>1831</v>
      </c>
      <c r="L159" s="2145" t="s">
        <v>1421</v>
      </c>
      <c r="Q159" s="2101"/>
    </row>
    <row r="160" spans="1:18">
      <c r="A160" s="2115">
        <v>4</v>
      </c>
      <c r="B160" s="2123" t="s">
        <v>1426</v>
      </c>
      <c r="C160" s="2118">
        <v>93.958333333333329</v>
      </c>
      <c r="D160" s="2119">
        <v>6.5217391304348382</v>
      </c>
      <c r="E160" s="2118">
        <v>1879.1666666666665</v>
      </c>
      <c r="F160" s="2119">
        <v>0.15843466550481186</v>
      </c>
      <c r="G160" s="2115" t="s">
        <v>1419</v>
      </c>
      <c r="K160" s="2145" t="s">
        <v>1430</v>
      </c>
      <c r="L160" s="2145" t="s">
        <v>1421</v>
      </c>
      <c r="Q160" s="2101"/>
    </row>
    <row r="161" spans="1:17">
      <c r="A161" s="2115">
        <v>5</v>
      </c>
      <c r="B161" s="2123" t="s">
        <v>1824</v>
      </c>
      <c r="C161" s="2118">
        <v>31.319444444444443</v>
      </c>
      <c r="D161" s="2119">
        <v>2.1739130434782794</v>
      </c>
      <c r="E161" s="2118">
        <v>4134.1666666666661</v>
      </c>
      <c r="F161" s="2119">
        <v>0.3485562641105861</v>
      </c>
      <c r="G161" s="2115" t="s">
        <v>1421</v>
      </c>
      <c r="K161" s="2145" t="s">
        <v>1423</v>
      </c>
      <c r="L161" s="2145" t="s">
        <v>1421</v>
      </c>
      <c r="Q161" s="2101"/>
    </row>
    <row r="162" spans="1:17">
      <c r="A162" s="2115">
        <v>6</v>
      </c>
      <c r="B162" s="2123" t="s">
        <v>1422</v>
      </c>
      <c r="C162" s="2118">
        <v>78.298611111111114</v>
      </c>
      <c r="D162" s="2119">
        <v>5.4347826086956994</v>
      </c>
      <c r="E162" s="2118">
        <v>4697.916666666667</v>
      </c>
      <c r="F162" s="2119">
        <v>0.39608666376202972</v>
      </c>
      <c r="G162" s="2115" t="s">
        <v>1421</v>
      </c>
      <c r="K162" s="2145" t="s">
        <v>975</v>
      </c>
      <c r="L162" s="2145" t="s">
        <v>1421</v>
      </c>
      <c r="Q162" s="2101"/>
    </row>
    <row r="163" spans="1:17">
      <c r="A163" s="2115">
        <v>7</v>
      </c>
      <c r="B163" s="2123" t="s">
        <v>1420</v>
      </c>
      <c r="C163" s="2118">
        <v>814.30555555555554</v>
      </c>
      <c r="D163" s="2119">
        <v>56.521739130435265</v>
      </c>
      <c r="E163" s="2118">
        <v>716588.88888888888</v>
      </c>
      <c r="F163" s="2119">
        <v>60.416419112501593</v>
      </c>
      <c r="G163" s="2115" t="s">
        <v>1421</v>
      </c>
      <c r="K163" s="2145" t="s">
        <v>1420</v>
      </c>
      <c r="L163" s="2145" t="s">
        <v>1421</v>
      </c>
      <c r="Q163" s="2101"/>
    </row>
    <row r="164" spans="1:17">
      <c r="A164" s="2115">
        <v>8</v>
      </c>
      <c r="B164" s="2123" t="s">
        <v>1837</v>
      </c>
      <c r="C164" s="2118">
        <v>15.659722222222221</v>
      </c>
      <c r="D164" s="2119">
        <v>1.0869565217391397</v>
      </c>
      <c r="E164" s="2118">
        <v>861.28472222222217</v>
      </c>
      <c r="F164" s="2119">
        <v>7.2615888356372102E-2</v>
      </c>
      <c r="G164" s="2115" t="s">
        <v>1421</v>
      </c>
      <c r="K164" s="2145" t="s">
        <v>1836</v>
      </c>
      <c r="L164" s="2145" t="s">
        <v>1421</v>
      </c>
      <c r="Q164" s="2101"/>
    </row>
    <row r="165" spans="1:17">
      <c r="A165" s="2115">
        <v>9</v>
      </c>
      <c r="B165" s="2123" t="s">
        <v>1425</v>
      </c>
      <c r="C165" s="2118">
        <v>46.979166666666664</v>
      </c>
      <c r="D165" s="2119">
        <v>3.2608695652174191</v>
      </c>
      <c r="E165" s="2118">
        <v>17382.291666666664</v>
      </c>
      <c r="F165" s="2119">
        <v>1.4655206559195098</v>
      </c>
      <c r="G165" s="2115" t="s">
        <v>1421</v>
      </c>
      <c r="K165" s="2145" t="s">
        <v>1826</v>
      </c>
      <c r="L165" s="2145" t="s">
        <v>1421</v>
      </c>
      <c r="Q165" s="2101"/>
    </row>
    <row r="166" spans="1:17">
      <c r="A166" s="2115">
        <v>10</v>
      </c>
      <c r="B166" s="2123" t="s">
        <v>1839</v>
      </c>
      <c r="C166" s="2118">
        <v>15.659722222222221</v>
      </c>
      <c r="D166" s="2119">
        <v>1.0869565217391397</v>
      </c>
      <c r="E166" s="2118">
        <v>939.58333333333326</v>
      </c>
      <c r="F166" s="2119">
        <v>7.9217332752405931E-2</v>
      </c>
      <c r="G166" s="2115" t="s">
        <v>1421</v>
      </c>
      <c r="Q166" s="2101"/>
    </row>
    <row r="167" spans="1:17">
      <c r="A167" s="2115">
        <v>11</v>
      </c>
      <c r="B167" s="2123" t="s">
        <v>1423</v>
      </c>
      <c r="C167" s="2118">
        <v>78.298611111111114</v>
      </c>
      <c r="D167" s="2119">
        <v>5.4347826086956994</v>
      </c>
      <c r="E167" s="2118">
        <v>285930.86805555556</v>
      </c>
      <c r="F167" s="2119">
        <v>24.107154645436335</v>
      </c>
      <c r="G167" s="2115" t="s">
        <v>1421</v>
      </c>
      <c r="Q167" s="2101"/>
    </row>
    <row r="168" spans="1:17">
      <c r="A168" s="2115">
        <v>12</v>
      </c>
      <c r="B168" s="2123" t="s">
        <v>975</v>
      </c>
      <c r="C168" s="2118">
        <v>46.979166666666664</v>
      </c>
      <c r="D168" s="2119">
        <v>3.2608695652174191</v>
      </c>
      <c r="E168" s="2118">
        <v>85267.187499999985</v>
      </c>
      <c r="F168" s="2119">
        <v>7.1889729472808375</v>
      </c>
      <c r="G168" s="2115" t="s">
        <v>1421</v>
      </c>
      <c r="Q168" s="2101"/>
    </row>
    <row r="169" spans="1:17">
      <c r="A169" s="2115">
        <v>13</v>
      </c>
      <c r="B169" s="2123" t="s">
        <v>1840</v>
      </c>
      <c r="C169" s="2118">
        <v>15.659722222222221</v>
      </c>
      <c r="D169" s="2119">
        <v>1.0869565217391397</v>
      </c>
      <c r="E169" s="2118">
        <v>4212.4652777777774</v>
      </c>
      <c r="F169" s="2119">
        <v>0.35515770850661993</v>
      </c>
      <c r="G169" s="2115" t="s">
        <v>1421</v>
      </c>
      <c r="Q169" s="2101"/>
    </row>
    <row r="170" spans="1:17">
      <c r="A170" s="2115">
        <v>14</v>
      </c>
      <c r="B170" s="2123" t="s">
        <v>1836</v>
      </c>
      <c r="C170" s="2118">
        <v>15.659722222222221</v>
      </c>
      <c r="D170" s="2119">
        <v>1.0869565217391397</v>
      </c>
      <c r="E170" s="2118">
        <v>31162.847222222219</v>
      </c>
      <c r="F170" s="2119">
        <v>2.6273748696214634</v>
      </c>
      <c r="G170" s="2115" t="s">
        <v>1421</v>
      </c>
      <c r="Q170" s="2101"/>
    </row>
    <row r="171" spans="1:17">
      <c r="A171" s="2115">
        <v>15</v>
      </c>
      <c r="B171" s="2123" t="s">
        <v>1838</v>
      </c>
      <c r="C171" s="2118">
        <v>15.659722222222221</v>
      </c>
      <c r="D171" s="2119">
        <v>1.0869565217391397</v>
      </c>
      <c r="E171" s="2118">
        <v>704.6875</v>
      </c>
      <c r="F171" s="2119">
        <v>5.9412999564304458E-2</v>
      </c>
      <c r="G171" s="2115" t="s">
        <v>1427</v>
      </c>
      <c r="Q171" s="2101"/>
    </row>
    <row r="172" spans="1:17">
      <c r="Q172" s="2101"/>
    </row>
    <row r="173" spans="1:17">
      <c r="A173" s="2101"/>
      <c r="B173" s="2133" t="s">
        <v>1428</v>
      </c>
      <c r="C173" s="2135" t="s">
        <v>471</v>
      </c>
      <c r="D173" s="2101"/>
      <c r="E173" s="2101"/>
      <c r="F173" s="2101"/>
      <c r="Q173" s="2101"/>
    </row>
    <row r="174" spans="1:17">
      <c r="A174" s="2101"/>
      <c r="B174" s="2133" t="s">
        <v>1429</v>
      </c>
      <c r="C174" s="2140" t="s">
        <v>1203</v>
      </c>
      <c r="D174" s="2101"/>
      <c r="E174" s="2101"/>
      <c r="F174" s="2101"/>
      <c r="Q174" s="2101"/>
    </row>
    <row r="175" spans="1:17">
      <c r="A175" s="2101"/>
      <c r="B175" s="2133" t="s">
        <v>1407</v>
      </c>
      <c r="C175" s="2140"/>
      <c r="D175" s="2101"/>
      <c r="E175" s="2101"/>
      <c r="F175" s="2101"/>
      <c r="Q175" s="2101"/>
    </row>
    <row r="176" spans="1:17">
      <c r="A176" s="2101"/>
      <c r="B176" s="2133" t="s">
        <v>1408</v>
      </c>
      <c r="C176" s="2134">
        <v>43656</v>
      </c>
      <c r="D176" s="2101"/>
      <c r="E176" s="2101"/>
      <c r="F176" s="2101"/>
      <c r="Q176" s="2101"/>
    </row>
    <row r="177" spans="1:17">
      <c r="A177" s="2101"/>
      <c r="B177" s="2133"/>
      <c r="C177" s="2101"/>
      <c r="D177" s="2101"/>
      <c r="E177" s="2101"/>
      <c r="F177" s="2101"/>
      <c r="Q177" s="2101"/>
    </row>
    <row r="178" spans="1:17">
      <c r="A178" s="2101"/>
      <c r="B178" s="2133" t="s">
        <v>1409</v>
      </c>
      <c r="C178" s="2137">
        <v>782.56401617250469</v>
      </c>
      <c r="D178" s="2101"/>
      <c r="E178" s="2101"/>
      <c r="F178" s="2101"/>
      <c r="Q178" s="2101"/>
    </row>
    <row r="179" spans="1:17" ht="15">
      <c r="A179" s="2101"/>
      <c r="B179" s="2133" t="s">
        <v>1410</v>
      </c>
      <c r="C179" s="2137">
        <v>263518.93530997157</v>
      </c>
      <c r="D179" s="2101"/>
      <c r="E179" s="2101"/>
      <c r="F179" s="2101"/>
      <c r="Q179" s="2101"/>
    </row>
    <row r="180" spans="1:17">
      <c r="A180" s="2101"/>
      <c r="B180" s="2133" t="s">
        <v>1411</v>
      </c>
      <c r="C180" s="2138">
        <v>40.244640350341797</v>
      </c>
      <c r="D180" s="2101"/>
      <c r="E180" s="2101"/>
      <c r="F180" s="2101"/>
      <c r="Q180" s="2101"/>
    </row>
    <row r="181" spans="1:17">
      <c r="Q181" s="2101"/>
    </row>
    <row r="182" spans="1:17">
      <c r="A182" s="2101"/>
      <c r="B182" s="2142">
        <v>43656</v>
      </c>
      <c r="C182" s="2133" t="s">
        <v>1412</v>
      </c>
      <c r="D182" s="2133" t="s">
        <v>1412</v>
      </c>
      <c r="E182" s="2133" t="s">
        <v>1413</v>
      </c>
      <c r="F182" s="2133" t="s">
        <v>1413</v>
      </c>
      <c r="Q182" s="2101"/>
    </row>
    <row r="183" spans="1:17" ht="15">
      <c r="A183" s="2101"/>
      <c r="B183" s="2129" t="s">
        <v>1414</v>
      </c>
      <c r="C183" s="2133" t="s">
        <v>1415</v>
      </c>
      <c r="D183" s="2133" t="s">
        <v>1416</v>
      </c>
      <c r="E183" s="2133" t="s">
        <v>1417</v>
      </c>
      <c r="F183" s="2133" t="s">
        <v>1416</v>
      </c>
      <c r="G183" s="2139" t="s">
        <v>1418</v>
      </c>
      <c r="Q183" s="2101"/>
    </row>
    <row r="184" spans="1:17">
      <c r="A184" s="2128" t="s">
        <v>1823</v>
      </c>
      <c r="B184" s="2128" t="s">
        <v>1823</v>
      </c>
      <c r="C184" s="2128" t="s">
        <v>1823</v>
      </c>
      <c r="D184" s="2128" t="s">
        <v>1823</v>
      </c>
      <c r="E184" s="2128" t="s">
        <v>1823</v>
      </c>
      <c r="F184" s="2128" t="s">
        <v>1823</v>
      </c>
      <c r="G184" s="2128" t="s">
        <v>1823</v>
      </c>
      <c r="Q184" s="2101"/>
    </row>
    <row r="185" spans="1:17">
      <c r="A185" s="2101">
        <v>1</v>
      </c>
      <c r="B185" s="2136" t="s">
        <v>1830</v>
      </c>
      <c r="C185" s="2131">
        <v>30.390835579514825</v>
      </c>
      <c r="D185" s="2132">
        <v>3.8834951456310782</v>
      </c>
      <c r="E185" s="2131">
        <v>2583.2210242587603</v>
      </c>
      <c r="F185" s="2132">
        <v>0.98027909122362455</v>
      </c>
      <c r="G185" s="2101" t="s">
        <v>1424</v>
      </c>
      <c r="Q185" s="2101"/>
    </row>
    <row r="186" spans="1:17">
      <c r="A186" s="2101">
        <v>2</v>
      </c>
      <c r="B186" s="2136" t="s">
        <v>1846</v>
      </c>
      <c r="C186" s="2131">
        <v>15.195417789757412</v>
      </c>
      <c r="D186" s="2132">
        <v>1.9417475728155391</v>
      </c>
      <c r="E186" s="2131">
        <v>1823.4501347708895</v>
      </c>
      <c r="F186" s="2132">
        <v>0.69196171145197027</v>
      </c>
      <c r="G186" s="2101" t="s">
        <v>1424</v>
      </c>
      <c r="Q186" s="2101"/>
    </row>
    <row r="187" spans="1:17">
      <c r="A187" s="2101">
        <v>3</v>
      </c>
      <c r="B187" s="2136" t="s">
        <v>1832</v>
      </c>
      <c r="C187" s="2131">
        <v>15.195417789757412</v>
      </c>
      <c r="D187" s="2132">
        <v>1.9417475728155391</v>
      </c>
      <c r="E187" s="2131">
        <v>957.31132075471703</v>
      </c>
      <c r="F187" s="2132">
        <v>0.36327989851228437</v>
      </c>
      <c r="G187" s="2101" t="s">
        <v>1424</v>
      </c>
      <c r="Q187" s="2101"/>
    </row>
    <row r="188" spans="1:17">
      <c r="A188" s="2101">
        <v>4</v>
      </c>
      <c r="B188" s="2136" t="s">
        <v>973</v>
      </c>
      <c r="C188" s="2131">
        <v>98.770215633423177</v>
      </c>
      <c r="D188" s="2132">
        <v>12.621359223301004</v>
      </c>
      <c r="E188" s="2131">
        <v>51360.512129380055</v>
      </c>
      <c r="F188" s="2132">
        <v>19.490254872563828</v>
      </c>
      <c r="G188" s="2101" t="s">
        <v>1419</v>
      </c>
      <c r="Q188" s="2101"/>
    </row>
    <row r="189" spans="1:17">
      <c r="A189" s="2101">
        <v>5</v>
      </c>
      <c r="B189" s="2136" t="s">
        <v>1426</v>
      </c>
      <c r="C189" s="2131">
        <v>60.781671159029649</v>
      </c>
      <c r="D189" s="2132">
        <v>7.7669902912621565</v>
      </c>
      <c r="E189" s="2131">
        <v>1215.6334231805929</v>
      </c>
      <c r="F189" s="2132">
        <v>0.46130780763464679</v>
      </c>
      <c r="G189" s="2101" t="s">
        <v>1419</v>
      </c>
    </row>
    <row r="190" spans="1:17">
      <c r="A190" s="2101">
        <v>6</v>
      </c>
      <c r="B190" s="2136" t="s">
        <v>1825</v>
      </c>
      <c r="C190" s="2131">
        <v>7.5977088948787062</v>
      </c>
      <c r="D190" s="2132">
        <v>0.97087378640776956</v>
      </c>
      <c r="E190" s="2131">
        <v>1367.5876010781672</v>
      </c>
      <c r="F190" s="2132">
        <v>0.51897128358897771</v>
      </c>
      <c r="G190" s="2101" t="s">
        <v>1421</v>
      </c>
    </row>
    <row r="191" spans="1:17">
      <c r="A191" s="2101">
        <v>7</v>
      </c>
      <c r="B191" s="2136" t="s">
        <v>1824</v>
      </c>
      <c r="C191" s="2131">
        <v>22.793126684636118</v>
      </c>
      <c r="D191" s="2132">
        <v>2.9126213592233086</v>
      </c>
      <c r="E191" s="2131">
        <v>3008.6927223719676</v>
      </c>
      <c r="F191" s="2132">
        <v>1.1417368238957508</v>
      </c>
      <c r="G191" s="2101" t="s">
        <v>1421</v>
      </c>
    </row>
    <row r="192" spans="1:17">
      <c r="A192" s="2101">
        <v>8</v>
      </c>
      <c r="B192" s="2136" t="s">
        <v>1422</v>
      </c>
      <c r="C192" s="2131">
        <v>212.73584905660377</v>
      </c>
      <c r="D192" s="2132">
        <v>27.184466019417545</v>
      </c>
      <c r="E192" s="2131">
        <v>10636.792452830188</v>
      </c>
      <c r="F192" s="2132">
        <v>4.036443316803159</v>
      </c>
      <c r="G192" s="2101" t="s">
        <v>1421</v>
      </c>
    </row>
    <row r="193" spans="1:7">
      <c r="A193" s="2101">
        <v>9</v>
      </c>
      <c r="B193" s="2136" t="s">
        <v>1845</v>
      </c>
      <c r="C193" s="2131">
        <v>15.195417789757412</v>
      </c>
      <c r="D193" s="2132">
        <v>1.9417475728155391</v>
      </c>
      <c r="E193" s="2131">
        <v>2522.4393530997304</v>
      </c>
      <c r="F193" s="2132">
        <v>0.95721370084189217</v>
      </c>
      <c r="G193" s="2101" t="s">
        <v>1421</v>
      </c>
    </row>
    <row r="194" spans="1:7">
      <c r="A194" s="2101">
        <v>10</v>
      </c>
      <c r="B194" s="2136" t="s">
        <v>1850</v>
      </c>
      <c r="C194" s="2131">
        <v>7.5977088948787062</v>
      </c>
      <c r="D194" s="2132">
        <v>0.97087378640776956</v>
      </c>
      <c r="E194" s="2131">
        <v>3494.9460916442049</v>
      </c>
      <c r="F194" s="2132">
        <v>1.3262599469496097</v>
      </c>
      <c r="G194" s="2101" t="s">
        <v>1421</v>
      </c>
    </row>
    <row r="195" spans="1:7">
      <c r="A195" s="2101">
        <v>11</v>
      </c>
      <c r="B195" s="2136" t="s">
        <v>1854</v>
      </c>
      <c r="C195" s="2131">
        <v>7.5977088948787062</v>
      </c>
      <c r="D195" s="2132">
        <v>0.97087378640776956</v>
      </c>
      <c r="E195" s="2131">
        <v>402.67857142857144</v>
      </c>
      <c r="F195" s="2132">
        <v>0.15280821127897676</v>
      </c>
      <c r="G195" s="2101" t="s">
        <v>1421</v>
      </c>
    </row>
    <row r="196" spans="1:7">
      <c r="A196" s="2101">
        <v>12</v>
      </c>
      <c r="B196" s="2136" t="s">
        <v>1425</v>
      </c>
      <c r="C196" s="2131">
        <v>22.793126684636118</v>
      </c>
      <c r="D196" s="2132">
        <v>2.9126213592233086</v>
      </c>
      <c r="E196" s="2131">
        <v>8433.4568733153628</v>
      </c>
      <c r="F196" s="2132">
        <v>3.2003229154653616</v>
      </c>
      <c r="G196" s="2101" t="s">
        <v>1421</v>
      </c>
    </row>
    <row r="197" spans="1:7">
      <c r="A197" s="2101">
        <v>13</v>
      </c>
      <c r="B197" s="2136" t="s">
        <v>1841</v>
      </c>
      <c r="C197" s="2131">
        <v>22.793126684636118</v>
      </c>
      <c r="D197" s="2132">
        <v>2.9126213592233086</v>
      </c>
      <c r="E197" s="2131">
        <v>6610.0067385444745</v>
      </c>
      <c r="F197" s="2132">
        <v>2.5083612040133922</v>
      </c>
      <c r="G197" s="2101" t="s">
        <v>1421</v>
      </c>
    </row>
    <row r="198" spans="1:7">
      <c r="A198" s="2101">
        <v>14</v>
      </c>
      <c r="B198" s="2136" t="s">
        <v>1844</v>
      </c>
      <c r="C198" s="2131">
        <v>15.195417789757412</v>
      </c>
      <c r="D198" s="2132">
        <v>1.9417475728155391</v>
      </c>
      <c r="E198" s="2131">
        <v>729.38005390835576</v>
      </c>
      <c r="F198" s="2132">
        <v>0.27678468458078809</v>
      </c>
      <c r="G198" s="2101" t="s">
        <v>1421</v>
      </c>
    </row>
    <row r="199" spans="1:7">
      <c r="A199" s="2101">
        <v>15</v>
      </c>
      <c r="B199" s="2136" t="s">
        <v>1831</v>
      </c>
      <c r="C199" s="2131">
        <v>45.586253369272235</v>
      </c>
      <c r="D199" s="2132">
        <v>5.8252427184466171</v>
      </c>
      <c r="E199" s="2131">
        <v>13128.840970350404</v>
      </c>
      <c r="F199" s="2132">
        <v>4.9821243224541849</v>
      </c>
      <c r="G199" s="2101" t="s">
        <v>1421</v>
      </c>
    </row>
    <row r="200" spans="1:7">
      <c r="A200" s="2101">
        <v>16</v>
      </c>
      <c r="B200" s="2136" t="s">
        <v>1431</v>
      </c>
      <c r="C200" s="2131">
        <v>15.195417789757412</v>
      </c>
      <c r="D200" s="2132">
        <v>1.9417475728155391</v>
      </c>
      <c r="E200" s="2131">
        <v>2735.1752021563343</v>
      </c>
      <c r="F200" s="2132">
        <v>1.0379425671779554</v>
      </c>
      <c r="G200" s="2101" t="s">
        <v>1421</v>
      </c>
    </row>
    <row r="201" spans="1:7">
      <c r="A201" s="2101">
        <v>17</v>
      </c>
      <c r="B201" s="2136" t="s">
        <v>1430</v>
      </c>
      <c r="C201" s="2131">
        <v>15.195417789757412</v>
      </c>
      <c r="D201" s="2132">
        <v>1.9417475728155391</v>
      </c>
      <c r="E201" s="2131">
        <v>26591.981132075471</v>
      </c>
      <c r="F201" s="2132">
        <v>10.091108292007899</v>
      </c>
      <c r="G201" s="2101" t="s">
        <v>1421</v>
      </c>
    </row>
    <row r="202" spans="1:7">
      <c r="A202" s="2101">
        <v>18</v>
      </c>
      <c r="B202" s="2136" t="s">
        <v>1423</v>
      </c>
      <c r="C202" s="2131">
        <v>7.5977088948787062</v>
      </c>
      <c r="D202" s="2132">
        <v>0.97087378640776956</v>
      </c>
      <c r="E202" s="2131">
        <v>13425.151617250674</v>
      </c>
      <c r="F202" s="2132">
        <v>5.0945681005651311</v>
      </c>
      <c r="G202" s="2101" t="s">
        <v>1421</v>
      </c>
    </row>
    <row r="203" spans="1:7">
      <c r="A203" s="2101">
        <v>19</v>
      </c>
      <c r="B203" s="2136" t="s">
        <v>975</v>
      </c>
      <c r="C203" s="2131">
        <v>22.793126684636118</v>
      </c>
      <c r="D203" s="2132">
        <v>2.9126213592233086</v>
      </c>
      <c r="E203" s="2131">
        <v>87753.537735849051</v>
      </c>
      <c r="F203" s="2132">
        <v>33.300657363626065</v>
      </c>
      <c r="G203" s="2101" t="s">
        <v>1421</v>
      </c>
    </row>
    <row r="204" spans="1:7">
      <c r="A204" s="2101">
        <v>20</v>
      </c>
      <c r="B204" s="2136" t="s">
        <v>1851</v>
      </c>
      <c r="C204" s="2131">
        <v>7.5977088948787062</v>
      </c>
      <c r="D204" s="2132">
        <v>0.97087378640776956</v>
      </c>
      <c r="E204" s="2131">
        <v>2735.1752021563343</v>
      </c>
      <c r="F204" s="2132">
        <v>1.0379425671779554</v>
      </c>
      <c r="G204" s="2101" t="s">
        <v>1421</v>
      </c>
    </row>
    <row r="205" spans="1:7">
      <c r="A205" s="2101">
        <v>21</v>
      </c>
      <c r="B205" s="2136" t="s">
        <v>1849</v>
      </c>
      <c r="C205" s="2131">
        <v>7.5977088948787062</v>
      </c>
      <c r="D205" s="2132">
        <v>0.97087378640776956</v>
      </c>
      <c r="E205" s="2131">
        <v>1405.5761455525605</v>
      </c>
      <c r="F205" s="2132">
        <v>0.53338715257756031</v>
      </c>
      <c r="G205" s="2101" t="s">
        <v>1421</v>
      </c>
    </row>
    <row r="206" spans="1:7">
      <c r="A206" s="2101">
        <v>22</v>
      </c>
      <c r="B206" s="2136" t="s">
        <v>1842</v>
      </c>
      <c r="C206" s="2131">
        <v>15.195417789757412</v>
      </c>
      <c r="D206" s="2132">
        <v>1.9417475728155391</v>
      </c>
      <c r="E206" s="2131">
        <v>2917.520215633423</v>
      </c>
      <c r="F206" s="2132">
        <v>1.1071387383231523</v>
      </c>
      <c r="G206" s="2101" t="s">
        <v>1421</v>
      </c>
    </row>
    <row r="207" spans="1:7">
      <c r="A207" s="2101">
        <v>23</v>
      </c>
      <c r="B207" s="2136" t="s">
        <v>1853</v>
      </c>
      <c r="C207" s="2131">
        <v>7.5977088948787062</v>
      </c>
      <c r="D207" s="2132">
        <v>0.97087378640776956</v>
      </c>
      <c r="E207" s="2131">
        <v>334.29919137466305</v>
      </c>
      <c r="F207" s="2132">
        <v>0.12685964709952788</v>
      </c>
      <c r="G207" s="2101" t="s">
        <v>1421</v>
      </c>
    </row>
    <row r="208" spans="1:7">
      <c r="A208" s="2101">
        <v>24</v>
      </c>
      <c r="B208" s="2136" t="s">
        <v>1848</v>
      </c>
      <c r="C208" s="2131">
        <v>7.5977088948787062</v>
      </c>
      <c r="D208" s="2132">
        <v>0.97087378640776956</v>
      </c>
      <c r="E208" s="2131">
        <v>2051.3814016172505</v>
      </c>
      <c r="F208" s="2132">
        <v>0.77845692538346645</v>
      </c>
      <c r="G208" s="2101" t="s">
        <v>1421</v>
      </c>
    </row>
    <row r="209" spans="1:7">
      <c r="A209" s="2101">
        <v>25</v>
      </c>
      <c r="B209" s="2136" t="s">
        <v>1840</v>
      </c>
      <c r="C209" s="2131">
        <v>15.195417789757412</v>
      </c>
      <c r="D209" s="2132">
        <v>1.9417475728155391</v>
      </c>
      <c r="E209" s="2131">
        <v>4087.5673854447441</v>
      </c>
      <c r="F209" s="2132">
        <v>1.5511475031714999</v>
      </c>
      <c r="G209" s="2101" t="s">
        <v>1421</v>
      </c>
    </row>
    <row r="210" spans="1:7">
      <c r="A210" s="2101">
        <v>26</v>
      </c>
      <c r="B210" s="2136" t="s">
        <v>1843</v>
      </c>
      <c r="C210" s="2131">
        <v>15.195417789757412</v>
      </c>
      <c r="D210" s="2132">
        <v>1.9417475728155391</v>
      </c>
      <c r="E210" s="2131">
        <v>1823.4501347708895</v>
      </c>
      <c r="F210" s="2132">
        <v>0.69196171145197027</v>
      </c>
      <c r="G210" s="2101" t="s">
        <v>1421</v>
      </c>
    </row>
    <row r="211" spans="1:7">
      <c r="A211" s="2101">
        <v>27</v>
      </c>
      <c r="B211" s="2136" t="s">
        <v>1433</v>
      </c>
      <c r="C211" s="2131">
        <v>15.195417789757412</v>
      </c>
      <c r="D211" s="2132">
        <v>1.9417475728155391</v>
      </c>
      <c r="E211" s="2131">
        <v>2735.1752021563343</v>
      </c>
      <c r="F211" s="2132">
        <v>1.0379425671779554</v>
      </c>
      <c r="G211" s="2101" t="s">
        <v>1421</v>
      </c>
    </row>
    <row r="212" spans="1:7">
      <c r="A212" s="2101">
        <v>28</v>
      </c>
      <c r="B212" s="2136" t="s">
        <v>1852</v>
      </c>
      <c r="C212" s="2131">
        <v>7.5977088948787062</v>
      </c>
      <c r="D212" s="2132">
        <v>0.97087378640776956</v>
      </c>
      <c r="E212" s="2131">
        <v>3039.0835579514824</v>
      </c>
      <c r="F212" s="2132">
        <v>1.1532695190866169</v>
      </c>
      <c r="G212" s="2101" t="s">
        <v>1421</v>
      </c>
    </row>
    <row r="213" spans="1:7">
      <c r="A213" s="2101">
        <v>29</v>
      </c>
      <c r="B213" s="2136" t="s">
        <v>1432</v>
      </c>
      <c r="C213" s="2131">
        <v>15.195417789757412</v>
      </c>
      <c r="D213" s="2132">
        <v>1.9417475728155391</v>
      </c>
      <c r="E213" s="2131">
        <v>2127.3584905660377</v>
      </c>
      <c r="F213" s="2132">
        <v>0.80728866336063199</v>
      </c>
      <c r="G213" s="2101" t="s">
        <v>1421</v>
      </c>
    </row>
    <row r="214" spans="1:7">
      <c r="A214" s="2101">
        <v>30</v>
      </c>
      <c r="B214" s="2136" t="s">
        <v>1847</v>
      </c>
      <c r="C214" s="2131">
        <v>7.5977088948787062</v>
      </c>
      <c r="D214" s="2132">
        <v>0.97087378640776956</v>
      </c>
      <c r="E214" s="2131">
        <v>1481.5532345013476</v>
      </c>
      <c r="F214" s="2132">
        <v>0.56221889055472574</v>
      </c>
      <c r="G214" s="2101" t="s">
        <v>1427</v>
      </c>
    </row>
    <row r="218" spans="1:7">
      <c r="B218" s="111" t="s">
        <v>1414</v>
      </c>
      <c r="C218" s="2166" t="s">
        <v>1875</v>
      </c>
      <c r="D218" s="2166" t="s">
        <v>1873</v>
      </c>
      <c r="E218" s="2166" t="s">
        <v>1876</v>
      </c>
      <c r="F218" s="2166" t="s">
        <v>1874</v>
      </c>
      <c r="G218" s="2167" t="s">
        <v>1418</v>
      </c>
    </row>
    <row r="219" spans="1:7">
      <c r="A219" s="2142">
        <v>43691</v>
      </c>
      <c r="B219" s="2145" t="s">
        <v>1830</v>
      </c>
      <c r="C219" s="2169">
        <v>6.8085748792270531</v>
      </c>
      <c r="D219" s="2170">
        <v>1.1363636363636394</v>
      </c>
      <c r="E219" s="2169">
        <v>578.72886473429946</v>
      </c>
      <c r="F219" s="2170">
        <v>0.45859185325060642</v>
      </c>
      <c r="G219" s="2145" t="s">
        <v>1424</v>
      </c>
    </row>
    <row r="220" spans="1:7">
      <c r="B220" s="2145" t="s">
        <v>1832</v>
      </c>
      <c r="C220" s="2169">
        <v>6.8085748792270531</v>
      </c>
      <c r="D220" s="2170">
        <v>1.1363636363636394</v>
      </c>
      <c r="E220" s="2169">
        <v>428.94021739130432</v>
      </c>
      <c r="F220" s="2170">
        <v>0.33989749123280238</v>
      </c>
      <c r="G220" s="2145" t="s">
        <v>1424</v>
      </c>
    </row>
    <row r="221" spans="1:7">
      <c r="B221" s="2145" t="s">
        <v>973</v>
      </c>
      <c r="C221" s="2169">
        <v>40.85144927536232</v>
      </c>
      <c r="D221" s="2170">
        <v>6.8181818181818361</v>
      </c>
      <c r="E221" s="2169">
        <v>21242.753623188408</v>
      </c>
      <c r="F221" s="2170">
        <v>16.833018613434025</v>
      </c>
      <c r="G221" s="2145" t="s">
        <v>1419</v>
      </c>
    </row>
    <row r="222" spans="1:7">
      <c r="B222" s="2145" t="s">
        <v>1426</v>
      </c>
      <c r="C222" s="2169">
        <v>95.320048309178745</v>
      </c>
      <c r="D222" s="2170">
        <v>15.909090909090951</v>
      </c>
      <c r="E222" s="2169">
        <v>1906.4009661835748</v>
      </c>
      <c r="F222" s="2170">
        <v>1.5106555165902329</v>
      </c>
      <c r="G222" s="2145" t="s">
        <v>1419</v>
      </c>
    </row>
    <row r="223" spans="1:7">
      <c r="B223" s="2145" t="s">
        <v>1828</v>
      </c>
      <c r="C223" s="2169">
        <v>6.8085748792270531</v>
      </c>
      <c r="D223" s="2170">
        <v>1.1363636363636394</v>
      </c>
      <c r="E223" s="2169">
        <v>1021.286231884058</v>
      </c>
      <c r="F223" s="2170">
        <v>0.80927974103048206</v>
      </c>
      <c r="G223" s="2145" t="s">
        <v>1421</v>
      </c>
    </row>
    <row r="224" spans="1:7">
      <c r="B224" s="2145" t="s">
        <v>1825</v>
      </c>
      <c r="C224" s="2169">
        <v>13.617149758454106</v>
      </c>
      <c r="D224" s="2170">
        <v>2.2727272727272787</v>
      </c>
      <c r="E224" s="2169">
        <v>2451.086956521739</v>
      </c>
      <c r="F224" s="2170">
        <v>1.9422713784731567</v>
      </c>
      <c r="G224" s="2145" t="s">
        <v>1421</v>
      </c>
    </row>
    <row r="225" spans="1:7">
      <c r="B225" s="2145" t="s">
        <v>1824</v>
      </c>
      <c r="C225" s="2169">
        <v>20.42572463768116</v>
      </c>
      <c r="D225" s="2170">
        <v>3.4090909090909181</v>
      </c>
      <c r="E225" s="2169">
        <v>2696.195652173913</v>
      </c>
      <c r="F225" s="2170">
        <v>2.1364985163204722</v>
      </c>
      <c r="G225" s="2145" t="s">
        <v>1421</v>
      </c>
    </row>
    <row r="226" spans="1:7">
      <c r="B226" s="2145" t="s">
        <v>1829</v>
      </c>
      <c r="C226" s="2169">
        <v>6.8085748792270531</v>
      </c>
      <c r="D226" s="2170">
        <v>1.1363636363636394</v>
      </c>
      <c r="E226" s="2169">
        <v>646.81461352657004</v>
      </c>
      <c r="F226" s="2170">
        <v>0.51254383598597186</v>
      </c>
      <c r="G226" s="2145" t="s">
        <v>1421</v>
      </c>
    </row>
    <row r="227" spans="1:7">
      <c r="B227" s="2145" t="s">
        <v>1422</v>
      </c>
      <c r="C227" s="2169">
        <v>258.72584541062804</v>
      </c>
      <c r="D227" s="2170">
        <v>43.181818181818301</v>
      </c>
      <c r="E227" s="2169">
        <v>12936.292270531401</v>
      </c>
      <c r="F227" s="2170">
        <v>10.250876719719439</v>
      </c>
      <c r="G227" s="2145" t="s">
        <v>1421</v>
      </c>
    </row>
    <row r="228" spans="1:7">
      <c r="B228" s="2145" t="s">
        <v>1420</v>
      </c>
      <c r="C228" s="2169">
        <v>27.234299516908212</v>
      </c>
      <c r="D228" s="2170">
        <v>4.5454545454545574</v>
      </c>
      <c r="E228" s="2169">
        <v>7189.8550724637671</v>
      </c>
      <c r="F228" s="2170">
        <v>5.6973293768545918</v>
      </c>
      <c r="G228" s="2145" t="s">
        <v>1421</v>
      </c>
    </row>
    <row r="229" spans="1:7">
      <c r="B229" s="2145" t="s">
        <v>1834</v>
      </c>
      <c r="C229" s="2169">
        <v>6.8085748792270531</v>
      </c>
      <c r="D229" s="2170">
        <v>1.1363636363636394</v>
      </c>
      <c r="E229" s="2169">
        <v>1906.4009661835748</v>
      </c>
      <c r="F229" s="2170">
        <v>1.5106555165902329</v>
      </c>
      <c r="G229" s="2145" t="s">
        <v>1421</v>
      </c>
    </row>
    <row r="230" spans="1:7">
      <c r="B230" s="2145" t="s">
        <v>1425</v>
      </c>
      <c r="C230" s="2169">
        <v>40.85144927536232</v>
      </c>
      <c r="D230" s="2170">
        <v>6.8181818181818361</v>
      </c>
      <c r="E230" s="2169">
        <v>15115.036231884058</v>
      </c>
      <c r="F230" s="2170">
        <v>11.977340167251132</v>
      </c>
      <c r="G230" s="2145" t="s">
        <v>1421</v>
      </c>
    </row>
    <row r="231" spans="1:7">
      <c r="B231" s="2145" t="s">
        <v>1831</v>
      </c>
      <c r="C231" s="2169">
        <v>6.8085748792270531</v>
      </c>
      <c r="D231" s="2170">
        <v>1.1363636363636394</v>
      </c>
      <c r="E231" s="2169">
        <v>1960.8695652173913</v>
      </c>
      <c r="F231" s="2170">
        <v>1.5538171027785252</v>
      </c>
      <c r="G231" s="2145" t="s">
        <v>1421</v>
      </c>
    </row>
    <row r="232" spans="1:7">
      <c r="B232" s="2145" t="s">
        <v>1430</v>
      </c>
      <c r="C232" s="2169">
        <v>13.617149758454106</v>
      </c>
      <c r="D232" s="2170">
        <v>2.2727272727272787</v>
      </c>
      <c r="E232" s="2169">
        <v>23830.012077294687</v>
      </c>
      <c r="F232" s="2170">
        <v>18.883193957377912</v>
      </c>
      <c r="G232" s="2145" t="s">
        <v>1421</v>
      </c>
    </row>
    <row r="233" spans="1:7">
      <c r="B233" s="2145" t="s">
        <v>975</v>
      </c>
      <c r="C233" s="2169">
        <v>13.617149758454106</v>
      </c>
      <c r="D233" s="2170">
        <v>2.2727272727272787</v>
      </c>
      <c r="E233" s="2169">
        <v>14978.864734299517</v>
      </c>
      <c r="F233" s="2170">
        <v>11.869436201780402</v>
      </c>
      <c r="G233" s="2145" t="s">
        <v>1421</v>
      </c>
    </row>
    <row r="234" spans="1:7">
      <c r="B234" s="2145" t="s">
        <v>1833</v>
      </c>
      <c r="C234" s="2169">
        <v>6.8085748792270531</v>
      </c>
      <c r="D234" s="2170">
        <v>1.1363636363636394</v>
      </c>
      <c r="E234" s="2169">
        <v>306.38586956521738</v>
      </c>
      <c r="F234" s="2170">
        <v>0.24278392230914458</v>
      </c>
      <c r="G234" s="2145" t="s">
        <v>1421</v>
      </c>
    </row>
    <row r="235" spans="1:7">
      <c r="B235" s="2145" t="s">
        <v>1826</v>
      </c>
      <c r="C235" s="2169">
        <v>13.617149758454106</v>
      </c>
      <c r="D235" s="2170">
        <v>2.2727272727272787</v>
      </c>
      <c r="E235" s="2169">
        <v>15251.207729468599</v>
      </c>
      <c r="F235" s="2170">
        <v>12.085244132721863</v>
      </c>
      <c r="G235" s="2145" t="s">
        <v>1421</v>
      </c>
    </row>
    <row r="236" spans="1:7">
      <c r="B236" s="2145" t="s">
        <v>1827</v>
      </c>
      <c r="C236" s="2169">
        <v>6.8085748792270531</v>
      </c>
      <c r="D236" s="2170">
        <v>1.1363636363636394</v>
      </c>
      <c r="E236" s="2169">
        <v>796.60326086956525</v>
      </c>
      <c r="F236" s="2170">
        <v>0.6312381980037759</v>
      </c>
      <c r="G236" s="2145" t="s">
        <v>1421</v>
      </c>
    </row>
    <row r="237" spans="1:7">
      <c r="B237" s="2145" t="s">
        <v>1432</v>
      </c>
      <c r="C237" s="2169">
        <v>6.8085748792270531</v>
      </c>
      <c r="D237" s="2170">
        <v>1.1363636363636394</v>
      </c>
      <c r="E237" s="2169">
        <v>953.20048309178742</v>
      </c>
      <c r="F237" s="2170">
        <v>0.75532775829511645</v>
      </c>
      <c r="G237" s="2145" t="s">
        <v>1421</v>
      </c>
    </row>
    <row r="238" spans="1:7">
      <c r="A238" s="2168">
        <v>43719</v>
      </c>
      <c r="B238" s="2171" t="s">
        <v>1832</v>
      </c>
      <c r="C238" s="2172">
        <v>31.319444444444443</v>
      </c>
      <c r="D238" s="2173">
        <v>2.1739130434782794</v>
      </c>
      <c r="E238" s="2172">
        <v>1973.125</v>
      </c>
      <c r="F238" s="2173">
        <v>0.16635639878005246</v>
      </c>
      <c r="G238" s="2171" t="s">
        <v>1424</v>
      </c>
    </row>
    <row r="239" spans="1:7">
      <c r="A239" s="94"/>
      <c r="B239" s="2171" t="s">
        <v>1835</v>
      </c>
      <c r="C239" s="2172">
        <v>93.958333333333329</v>
      </c>
      <c r="D239" s="2173">
        <v>6.5217391304348382</v>
      </c>
      <c r="E239" s="2172">
        <v>5919.375</v>
      </c>
      <c r="F239" s="2173">
        <v>0.49906919634015739</v>
      </c>
      <c r="G239" s="2171" t="s">
        <v>1424</v>
      </c>
    </row>
    <row r="240" spans="1:7">
      <c r="A240" s="94"/>
      <c r="B240" s="2171" t="s">
        <v>973</v>
      </c>
      <c r="C240" s="2172">
        <v>46.979166666666664</v>
      </c>
      <c r="D240" s="2173">
        <v>3.2608695652174191</v>
      </c>
      <c r="E240" s="2172">
        <v>24429.166666666664</v>
      </c>
      <c r="F240" s="2173">
        <v>2.0596506515625541</v>
      </c>
      <c r="G240" s="2171" t="s">
        <v>1419</v>
      </c>
    </row>
    <row r="241" spans="1:7">
      <c r="A241" s="94"/>
      <c r="B241" s="2171" t="s">
        <v>1426</v>
      </c>
      <c r="C241" s="2172">
        <v>93.958333333333329</v>
      </c>
      <c r="D241" s="2173">
        <v>6.5217391304348382</v>
      </c>
      <c r="E241" s="2172">
        <v>1879.1666666666665</v>
      </c>
      <c r="F241" s="2173">
        <v>0.15843466550481186</v>
      </c>
      <c r="G241" s="2171" t="s">
        <v>1419</v>
      </c>
    </row>
    <row r="242" spans="1:7">
      <c r="A242" s="94"/>
      <c r="B242" s="2171" t="s">
        <v>1824</v>
      </c>
      <c r="C242" s="2172">
        <v>31.319444444444443</v>
      </c>
      <c r="D242" s="2173">
        <v>2.1739130434782794</v>
      </c>
      <c r="E242" s="2172">
        <v>4134.1666666666661</v>
      </c>
      <c r="F242" s="2173">
        <v>0.3485562641105861</v>
      </c>
      <c r="G242" s="2171" t="s">
        <v>1421</v>
      </c>
    </row>
    <row r="243" spans="1:7">
      <c r="A243" s="94"/>
      <c r="B243" s="2171" t="s">
        <v>1422</v>
      </c>
      <c r="C243" s="2172">
        <v>78.298611111111114</v>
      </c>
      <c r="D243" s="2173">
        <v>5.4347826086956994</v>
      </c>
      <c r="E243" s="2172">
        <v>4697.916666666667</v>
      </c>
      <c r="F243" s="2173">
        <v>0.39608666376202972</v>
      </c>
      <c r="G243" s="2171" t="s">
        <v>1421</v>
      </c>
    </row>
    <row r="244" spans="1:7">
      <c r="A244" s="94"/>
      <c r="B244" s="2171" t="s">
        <v>1420</v>
      </c>
      <c r="C244" s="2172">
        <v>814.30555555555554</v>
      </c>
      <c r="D244" s="2173">
        <v>56.521739130435265</v>
      </c>
      <c r="E244" s="2172">
        <v>716588.88888888888</v>
      </c>
      <c r="F244" s="2173">
        <v>60.416419112501593</v>
      </c>
      <c r="G244" s="2171" t="s">
        <v>1421</v>
      </c>
    </row>
    <row r="245" spans="1:7">
      <c r="A245" s="94"/>
      <c r="B245" s="2171" t="s">
        <v>1837</v>
      </c>
      <c r="C245" s="2172">
        <v>15.659722222222221</v>
      </c>
      <c r="D245" s="2173">
        <v>1.0869565217391397</v>
      </c>
      <c r="E245" s="2172">
        <v>861.28472222222217</v>
      </c>
      <c r="F245" s="2173">
        <v>7.2615888356372102E-2</v>
      </c>
      <c r="G245" s="2171" t="s">
        <v>1421</v>
      </c>
    </row>
    <row r="246" spans="1:7">
      <c r="A246" s="94"/>
      <c r="B246" s="2171" t="s">
        <v>1425</v>
      </c>
      <c r="C246" s="2172">
        <v>46.979166666666664</v>
      </c>
      <c r="D246" s="2173">
        <v>3.2608695652174191</v>
      </c>
      <c r="E246" s="2172">
        <v>17382.291666666664</v>
      </c>
      <c r="F246" s="2173">
        <v>1.4655206559195098</v>
      </c>
      <c r="G246" s="2171" t="s">
        <v>1421</v>
      </c>
    </row>
    <row r="247" spans="1:7">
      <c r="A247" s="94"/>
      <c r="B247" s="2171" t="s">
        <v>1839</v>
      </c>
      <c r="C247" s="2172">
        <v>15.659722222222221</v>
      </c>
      <c r="D247" s="2173">
        <v>1.0869565217391397</v>
      </c>
      <c r="E247" s="2172">
        <v>939.58333333333326</v>
      </c>
      <c r="F247" s="2173">
        <v>7.9217332752405931E-2</v>
      </c>
      <c r="G247" s="2171" t="s">
        <v>1421</v>
      </c>
    </row>
    <row r="248" spans="1:7">
      <c r="A248" s="94"/>
      <c r="B248" s="2171" t="s">
        <v>1423</v>
      </c>
      <c r="C248" s="2172">
        <v>78.298611111111114</v>
      </c>
      <c r="D248" s="2173">
        <v>5.4347826086956994</v>
      </c>
      <c r="E248" s="2172">
        <v>285930.86805555556</v>
      </c>
      <c r="F248" s="2173">
        <v>24.107154645436335</v>
      </c>
      <c r="G248" s="2171" t="s">
        <v>1421</v>
      </c>
    </row>
    <row r="249" spans="1:7">
      <c r="A249" s="94"/>
      <c r="B249" s="2171" t="s">
        <v>975</v>
      </c>
      <c r="C249" s="2172">
        <v>46.979166666666664</v>
      </c>
      <c r="D249" s="2173">
        <v>3.2608695652174191</v>
      </c>
      <c r="E249" s="2172">
        <v>85267.187499999985</v>
      </c>
      <c r="F249" s="2173">
        <v>7.1889729472808375</v>
      </c>
      <c r="G249" s="2171" t="s">
        <v>1421</v>
      </c>
    </row>
    <row r="250" spans="1:7">
      <c r="A250" s="94"/>
      <c r="B250" s="2171" t="s">
        <v>1840</v>
      </c>
      <c r="C250" s="2172">
        <v>15.659722222222221</v>
      </c>
      <c r="D250" s="2173">
        <v>1.0869565217391397</v>
      </c>
      <c r="E250" s="2172">
        <v>4212.4652777777774</v>
      </c>
      <c r="F250" s="2173">
        <v>0.35515770850661993</v>
      </c>
      <c r="G250" s="2171" t="s">
        <v>1421</v>
      </c>
    </row>
    <row r="251" spans="1:7">
      <c r="A251" s="94"/>
      <c r="B251" s="2171" t="s">
        <v>1836</v>
      </c>
      <c r="C251" s="2172">
        <v>15.659722222222221</v>
      </c>
      <c r="D251" s="2173">
        <v>1.0869565217391397</v>
      </c>
      <c r="E251" s="2172">
        <v>31162.847222222219</v>
      </c>
      <c r="F251" s="2173">
        <v>2.6273748696214634</v>
      </c>
      <c r="G251" s="2171" t="s">
        <v>1421</v>
      </c>
    </row>
    <row r="252" spans="1:7">
      <c r="A252" s="94"/>
      <c r="B252" s="2171" t="s">
        <v>1838</v>
      </c>
      <c r="C252" s="2172">
        <v>15.659722222222221</v>
      </c>
      <c r="D252" s="2173">
        <v>1.0869565217391397</v>
      </c>
      <c r="E252" s="2172">
        <v>704.6875</v>
      </c>
      <c r="F252" s="2173">
        <v>5.9412999564304458E-2</v>
      </c>
      <c r="G252" s="2171" t="s">
        <v>1427</v>
      </c>
    </row>
    <row r="253" spans="1:7">
      <c r="A253" s="2142">
        <v>43656</v>
      </c>
      <c r="B253" s="2145" t="s">
        <v>1830</v>
      </c>
      <c r="C253" s="2169">
        <v>30.390835579514825</v>
      </c>
      <c r="D253" s="2170">
        <v>3.8834951456310782</v>
      </c>
      <c r="E253" s="2169">
        <v>2583.2210242587603</v>
      </c>
      <c r="F253" s="2170">
        <v>0.98027909122362455</v>
      </c>
      <c r="G253" s="2145" t="s">
        <v>1424</v>
      </c>
    </row>
    <row r="254" spans="1:7">
      <c r="B254" s="2145" t="s">
        <v>1846</v>
      </c>
      <c r="C254" s="2169">
        <v>15.195417789757412</v>
      </c>
      <c r="D254" s="2170">
        <v>1.9417475728155391</v>
      </c>
      <c r="E254" s="2169">
        <v>1823.4501347708895</v>
      </c>
      <c r="F254" s="2170">
        <v>0.69196171145197027</v>
      </c>
      <c r="G254" s="2145" t="s">
        <v>1424</v>
      </c>
    </row>
    <row r="255" spans="1:7">
      <c r="B255" s="2145" t="s">
        <v>1832</v>
      </c>
      <c r="C255" s="2169">
        <v>15.195417789757412</v>
      </c>
      <c r="D255" s="2170">
        <v>1.9417475728155391</v>
      </c>
      <c r="E255" s="2169">
        <v>957.31132075471703</v>
      </c>
      <c r="F255" s="2170">
        <v>0.36327989851228437</v>
      </c>
      <c r="G255" s="2145" t="s">
        <v>1424</v>
      </c>
    </row>
    <row r="256" spans="1:7">
      <c r="B256" s="2145" t="s">
        <v>973</v>
      </c>
      <c r="C256" s="2169">
        <v>98.770215633423177</v>
      </c>
      <c r="D256" s="2170">
        <v>12.621359223301004</v>
      </c>
      <c r="E256" s="2169">
        <v>51360.512129380055</v>
      </c>
      <c r="F256" s="2170">
        <v>19.490254872563828</v>
      </c>
      <c r="G256" s="2145" t="s">
        <v>1419</v>
      </c>
    </row>
    <row r="257" spans="2:7">
      <c r="B257" s="2145" t="s">
        <v>1426</v>
      </c>
      <c r="C257" s="2169">
        <v>60.781671159029649</v>
      </c>
      <c r="D257" s="2170">
        <v>7.7669902912621565</v>
      </c>
      <c r="E257" s="2169">
        <v>1215.6334231805929</v>
      </c>
      <c r="F257" s="2170">
        <v>0.46130780763464679</v>
      </c>
      <c r="G257" s="2145" t="s">
        <v>1419</v>
      </c>
    </row>
    <row r="258" spans="2:7">
      <c r="B258" s="2145" t="s">
        <v>1825</v>
      </c>
      <c r="C258" s="2169">
        <v>7.5977088948787062</v>
      </c>
      <c r="D258" s="2170">
        <v>0.97087378640776956</v>
      </c>
      <c r="E258" s="2169">
        <v>1367.5876010781672</v>
      </c>
      <c r="F258" s="2170">
        <v>0.51897128358897771</v>
      </c>
      <c r="G258" s="2145" t="s">
        <v>1421</v>
      </c>
    </row>
    <row r="259" spans="2:7">
      <c r="B259" s="2145" t="s">
        <v>1824</v>
      </c>
      <c r="C259" s="2169">
        <v>22.793126684636118</v>
      </c>
      <c r="D259" s="2170">
        <v>2.9126213592233086</v>
      </c>
      <c r="E259" s="2169">
        <v>3008.6927223719676</v>
      </c>
      <c r="F259" s="2170">
        <v>1.1417368238957508</v>
      </c>
      <c r="G259" s="2145" t="s">
        <v>1421</v>
      </c>
    </row>
    <row r="260" spans="2:7">
      <c r="B260" s="2145" t="s">
        <v>1422</v>
      </c>
      <c r="C260" s="2169">
        <v>212.73584905660377</v>
      </c>
      <c r="D260" s="2170">
        <v>27.184466019417545</v>
      </c>
      <c r="E260" s="2169">
        <v>10636.792452830188</v>
      </c>
      <c r="F260" s="2170">
        <v>4.036443316803159</v>
      </c>
      <c r="G260" s="2145" t="s">
        <v>1421</v>
      </c>
    </row>
    <row r="261" spans="2:7">
      <c r="B261" s="2145" t="s">
        <v>1845</v>
      </c>
      <c r="C261" s="2169">
        <v>15.195417789757412</v>
      </c>
      <c r="D261" s="2170">
        <v>1.9417475728155391</v>
      </c>
      <c r="E261" s="2169">
        <v>2522.4393530997304</v>
      </c>
      <c r="F261" s="2170">
        <v>0.95721370084189217</v>
      </c>
      <c r="G261" s="2145" t="s">
        <v>1421</v>
      </c>
    </row>
    <row r="262" spans="2:7">
      <c r="B262" s="2145" t="s">
        <v>1850</v>
      </c>
      <c r="C262" s="2169">
        <v>7.5977088948787062</v>
      </c>
      <c r="D262" s="2170">
        <v>0.97087378640776956</v>
      </c>
      <c r="E262" s="2169">
        <v>3494.9460916442049</v>
      </c>
      <c r="F262" s="2170">
        <v>1.3262599469496097</v>
      </c>
      <c r="G262" s="2145" t="s">
        <v>1421</v>
      </c>
    </row>
    <row r="263" spans="2:7">
      <c r="B263" s="2145" t="s">
        <v>1854</v>
      </c>
      <c r="C263" s="2169">
        <v>7.5977088948787062</v>
      </c>
      <c r="D263" s="2170">
        <v>0.97087378640776956</v>
      </c>
      <c r="E263" s="2169">
        <v>402.67857142857144</v>
      </c>
      <c r="F263" s="2170">
        <v>0.15280821127897676</v>
      </c>
      <c r="G263" s="2145" t="s">
        <v>1421</v>
      </c>
    </row>
    <row r="264" spans="2:7">
      <c r="B264" s="2145" t="s">
        <v>1425</v>
      </c>
      <c r="C264" s="2169">
        <v>22.793126684636118</v>
      </c>
      <c r="D264" s="2170">
        <v>2.9126213592233086</v>
      </c>
      <c r="E264" s="2169">
        <v>8433.4568733153628</v>
      </c>
      <c r="F264" s="2170">
        <v>3.2003229154653616</v>
      </c>
      <c r="G264" s="2145" t="s">
        <v>1421</v>
      </c>
    </row>
    <row r="265" spans="2:7">
      <c r="B265" s="2145" t="s">
        <v>1841</v>
      </c>
      <c r="C265" s="2169">
        <v>22.793126684636118</v>
      </c>
      <c r="D265" s="2170">
        <v>2.9126213592233086</v>
      </c>
      <c r="E265" s="2169">
        <v>6610.0067385444745</v>
      </c>
      <c r="F265" s="2170">
        <v>2.5083612040133922</v>
      </c>
      <c r="G265" s="2145" t="s">
        <v>1421</v>
      </c>
    </row>
    <row r="266" spans="2:7">
      <c r="B266" s="2145" t="s">
        <v>1844</v>
      </c>
      <c r="C266" s="2169">
        <v>15.195417789757412</v>
      </c>
      <c r="D266" s="2170">
        <v>1.9417475728155391</v>
      </c>
      <c r="E266" s="2169">
        <v>729.38005390835576</v>
      </c>
      <c r="F266" s="2170">
        <v>0.27678468458078809</v>
      </c>
      <c r="G266" s="2145" t="s">
        <v>1421</v>
      </c>
    </row>
    <row r="267" spans="2:7">
      <c r="B267" s="2145" t="s">
        <v>1831</v>
      </c>
      <c r="C267" s="2169">
        <v>45.586253369272235</v>
      </c>
      <c r="D267" s="2170">
        <v>5.8252427184466171</v>
      </c>
      <c r="E267" s="2169">
        <v>13128.840970350404</v>
      </c>
      <c r="F267" s="2170">
        <v>4.9821243224541849</v>
      </c>
      <c r="G267" s="2145" t="s">
        <v>1421</v>
      </c>
    </row>
    <row r="268" spans="2:7">
      <c r="B268" s="2145" t="s">
        <v>1431</v>
      </c>
      <c r="C268" s="2169">
        <v>15.195417789757412</v>
      </c>
      <c r="D268" s="2170">
        <v>1.9417475728155391</v>
      </c>
      <c r="E268" s="2169">
        <v>2735.1752021563343</v>
      </c>
      <c r="F268" s="2170">
        <v>1.0379425671779554</v>
      </c>
      <c r="G268" s="2145" t="s">
        <v>1421</v>
      </c>
    </row>
    <row r="269" spans="2:7">
      <c r="B269" s="2145" t="s">
        <v>1430</v>
      </c>
      <c r="C269" s="2169">
        <v>15.195417789757412</v>
      </c>
      <c r="D269" s="2170">
        <v>1.9417475728155391</v>
      </c>
      <c r="E269" s="2169">
        <v>26591.981132075471</v>
      </c>
      <c r="F269" s="2170">
        <v>10.091108292007899</v>
      </c>
      <c r="G269" s="2145" t="s">
        <v>1421</v>
      </c>
    </row>
    <row r="270" spans="2:7">
      <c r="B270" s="2145" t="s">
        <v>1423</v>
      </c>
      <c r="C270" s="2169">
        <v>7.5977088948787062</v>
      </c>
      <c r="D270" s="2170">
        <v>0.97087378640776956</v>
      </c>
      <c r="E270" s="2169">
        <v>13425.151617250674</v>
      </c>
      <c r="F270" s="2170">
        <v>5.0945681005651311</v>
      </c>
      <c r="G270" s="2145" t="s">
        <v>1421</v>
      </c>
    </row>
    <row r="271" spans="2:7">
      <c r="B271" s="2145" t="s">
        <v>975</v>
      </c>
      <c r="C271" s="2169">
        <v>22.793126684636118</v>
      </c>
      <c r="D271" s="2170">
        <v>2.9126213592233086</v>
      </c>
      <c r="E271" s="2169">
        <v>87753.537735849051</v>
      </c>
      <c r="F271" s="2170">
        <v>33.300657363626065</v>
      </c>
      <c r="G271" s="2145" t="s">
        <v>1421</v>
      </c>
    </row>
    <row r="272" spans="2:7">
      <c r="B272" s="2145" t="s">
        <v>1851</v>
      </c>
      <c r="C272" s="2169">
        <v>7.5977088948787062</v>
      </c>
      <c r="D272" s="2170">
        <v>0.97087378640776956</v>
      </c>
      <c r="E272" s="2169">
        <v>2735.1752021563343</v>
      </c>
      <c r="F272" s="2170">
        <v>1.0379425671779554</v>
      </c>
      <c r="G272" s="2145" t="s">
        <v>1421</v>
      </c>
    </row>
    <row r="273" spans="2:7">
      <c r="B273" s="2145" t="s">
        <v>1849</v>
      </c>
      <c r="C273" s="2169">
        <v>7.5977088948787062</v>
      </c>
      <c r="D273" s="2170">
        <v>0.97087378640776956</v>
      </c>
      <c r="E273" s="2169">
        <v>1405.5761455525605</v>
      </c>
      <c r="F273" s="2170">
        <v>0.53338715257756031</v>
      </c>
      <c r="G273" s="2145" t="s">
        <v>1421</v>
      </c>
    </row>
    <row r="274" spans="2:7">
      <c r="B274" s="2145" t="s">
        <v>1842</v>
      </c>
      <c r="C274" s="2169">
        <v>15.195417789757412</v>
      </c>
      <c r="D274" s="2170">
        <v>1.9417475728155391</v>
      </c>
      <c r="E274" s="2169">
        <v>2917.520215633423</v>
      </c>
      <c r="F274" s="2170">
        <v>1.1071387383231523</v>
      </c>
      <c r="G274" s="2145" t="s">
        <v>1421</v>
      </c>
    </row>
    <row r="275" spans="2:7">
      <c r="B275" s="2145" t="s">
        <v>1853</v>
      </c>
      <c r="C275" s="2169">
        <v>7.5977088948787062</v>
      </c>
      <c r="D275" s="2170">
        <v>0.97087378640776956</v>
      </c>
      <c r="E275" s="2169">
        <v>334.29919137466305</v>
      </c>
      <c r="F275" s="2170">
        <v>0.12685964709952788</v>
      </c>
      <c r="G275" s="2145" t="s">
        <v>1421</v>
      </c>
    </row>
    <row r="276" spans="2:7">
      <c r="B276" s="2145" t="s">
        <v>1848</v>
      </c>
      <c r="C276" s="2169">
        <v>7.5977088948787062</v>
      </c>
      <c r="D276" s="2170">
        <v>0.97087378640776956</v>
      </c>
      <c r="E276" s="2169">
        <v>2051.3814016172505</v>
      </c>
      <c r="F276" s="2170">
        <v>0.77845692538346645</v>
      </c>
      <c r="G276" s="2145" t="s">
        <v>1421</v>
      </c>
    </row>
    <row r="277" spans="2:7">
      <c r="B277" s="2145" t="s">
        <v>1840</v>
      </c>
      <c r="C277" s="2169">
        <v>15.195417789757412</v>
      </c>
      <c r="D277" s="2170">
        <v>1.9417475728155391</v>
      </c>
      <c r="E277" s="2169">
        <v>4087.5673854447441</v>
      </c>
      <c r="F277" s="2170">
        <v>1.5511475031714999</v>
      </c>
      <c r="G277" s="2145" t="s">
        <v>1421</v>
      </c>
    </row>
    <row r="278" spans="2:7">
      <c r="B278" s="2145" t="s">
        <v>1843</v>
      </c>
      <c r="C278" s="2169">
        <v>15.195417789757412</v>
      </c>
      <c r="D278" s="2170">
        <v>1.9417475728155391</v>
      </c>
      <c r="E278" s="2169">
        <v>1823.4501347708895</v>
      </c>
      <c r="F278" s="2170">
        <v>0.69196171145197027</v>
      </c>
      <c r="G278" s="2145" t="s">
        <v>1421</v>
      </c>
    </row>
    <row r="279" spans="2:7">
      <c r="B279" s="2145" t="s">
        <v>1433</v>
      </c>
      <c r="C279" s="2169">
        <v>15.195417789757412</v>
      </c>
      <c r="D279" s="2170">
        <v>1.9417475728155391</v>
      </c>
      <c r="E279" s="2169">
        <v>2735.1752021563343</v>
      </c>
      <c r="F279" s="2170">
        <v>1.0379425671779554</v>
      </c>
      <c r="G279" s="2145" t="s">
        <v>1421</v>
      </c>
    </row>
    <row r="280" spans="2:7">
      <c r="B280" s="2145" t="s">
        <v>1852</v>
      </c>
      <c r="C280" s="2169">
        <v>7.5977088948787062</v>
      </c>
      <c r="D280" s="2170">
        <v>0.97087378640776956</v>
      </c>
      <c r="E280" s="2169">
        <v>3039.0835579514824</v>
      </c>
      <c r="F280" s="2170">
        <v>1.1532695190866169</v>
      </c>
      <c r="G280" s="2145" t="s">
        <v>1421</v>
      </c>
    </row>
    <row r="281" spans="2:7">
      <c r="B281" s="2145" t="s">
        <v>1432</v>
      </c>
      <c r="C281" s="2169">
        <v>15.195417789757412</v>
      </c>
      <c r="D281" s="2170">
        <v>1.9417475728155391</v>
      </c>
      <c r="E281" s="2169">
        <v>2127.3584905660377</v>
      </c>
      <c r="F281" s="2170">
        <v>0.80728866336063199</v>
      </c>
      <c r="G281" s="2145" t="s">
        <v>1421</v>
      </c>
    </row>
    <row r="282" spans="2:7">
      <c r="B282" s="2145" t="s">
        <v>1847</v>
      </c>
      <c r="C282" s="2169">
        <v>7.5977088948787062</v>
      </c>
      <c r="D282" s="2170">
        <v>0.97087378640776956</v>
      </c>
      <c r="E282" s="2169">
        <v>1481.5532345013476</v>
      </c>
      <c r="F282" s="2170">
        <v>0.56221889055472574</v>
      </c>
      <c r="G282" s="2145" t="s">
        <v>1427</v>
      </c>
    </row>
  </sheetData>
  <sortState xmlns:xlrd2="http://schemas.microsoft.com/office/spreadsheetml/2017/richdata2" ref="B125:G143">
    <sortCondition ref="G125:G143"/>
    <sortCondition ref="B125:B143"/>
  </sortState>
  <mergeCells count="15">
    <mergeCell ref="D105:E105"/>
    <mergeCell ref="D106:E106"/>
    <mergeCell ref="D107:E107"/>
    <mergeCell ref="D108:E108"/>
    <mergeCell ref="D101:E101"/>
    <mergeCell ref="D102:E102"/>
    <mergeCell ref="D103:E103"/>
    <mergeCell ref="D104:E104"/>
    <mergeCell ref="A21:A22"/>
    <mergeCell ref="A16:A20"/>
    <mergeCell ref="B2:I2"/>
    <mergeCell ref="N1:O1"/>
    <mergeCell ref="A4:A6"/>
    <mergeCell ref="A7:A8"/>
    <mergeCell ref="A10:A11"/>
  </mergeCell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AT83"/>
  <sheetViews>
    <sheetView topLeftCell="AM1" workbookViewId="0">
      <selection activeCell="F10" sqref="F10"/>
    </sheetView>
  </sheetViews>
  <sheetFormatPr defaultRowHeight="14"/>
  <cols>
    <col min="1" max="1" width="7.6328125" style="919" bestFit="1" customWidth="1"/>
    <col min="2" max="2" width="11.6328125" style="919" bestFit="1" customWidth="1"/>
    <col min="3" max="3" width="7.1796875" style="919" customWidth="1"/>
    <col min="4" max="4" width="10.90625" style="919" bestFit="1" customWidth="1"/>
    <col min="5" max="5" width="18.90625" style="919" customWidth="1"/>
    <col min="6" max="6" width="8.7265625" style="919"/>
    <col min="7" max="7" width="17.6328125" style="919" customWidth="1"/>
    <col min="8" max="8" width="5.36328125" style="919" bestFit="1" customWidth="1"/>
    <col min="9" max="13" width="8.7265625" style="919"/>
    <col min="14" max="14" width="10.36328125" style="919" customWidth="1"/>
    <col min="15" max="16" width="8.7265625" style="919"/>
    <col min="17" max="17" width="12.1796875" style="919" customWidth="1"/>
    <col min="18" max="18" width="8.08984375" style="919" customWidth="1"/>
    <col min="19" max="19" width="7.36328125" style="919" bestFit="1" customWidth="1"/>
    <col min="20" max="20" width="6.6328125" style="919" bestFit="1" customWidth="1"/>
    <col min="21" max="21" width="8" style="919" bestFit="1" customWidth="1"/>
    <col min="22" max="22" width="8.453125" style="919" customWidth="1"/>
    <col min="23" max="23" width="8.7265625" style="919"/>
    <col min="24" max="24" width="20" style="919" bestFit="1" customWidth="1"/>
    <col min="25" max="25" width="11.54296875" style="919" bestFit="1" customWidth="1"/>
    <col min="26" max="27" width="11.08984375" style="919" bestFit="1" customWidth="1"/>
    <col min="28" max="28" width="14" style="919" bestFit="1" customWidth="1"/>
    <col min="29" max="29" width="15.7265625" style="919" bestFit="1" customWidth="1"/>
    <col min="30" max="30" width="11.08984375" style="919" bestFit="1" customWidth="1"/>
    <col min="31" max="31" width="8.81640625" style="919" bestFit="1" customWidth="1"/>
    <col min="32" max="32" width="11.08984375" style="919" bestFit="1" customWidth="1"/>
    <col min="33" max="33" width="10.54296875" style="919" customWidth="1"/>
    <col min="34" max="35" width="8.7265625" style="919"/>
    <col min="36" max="37" width="8.453125" style="919" bestFit="1" customWidth="1"/>
    <col min="38" max="38" width="11.1796875" style="919" bestFit="1" customWidth="1"/>
    <col min="39" max="39" width="17.36328125" style="919" bestFit="1" customWidth="1"/>
    <col min="40" max="40" width="11.1796875" style="919" bestFit="1" customWidth="1"/>
    <col min="41" max="41" width="10.90625" style="919" bestFit="1" customWidth="1"/>
    <col min="42" max="42" width="6.54296875" style="919" bestFit="1" customWidth="1"/>
    <col min="43" max="43" width="6" style="919" bestFit="1" customWidth="1"/>
    <col min="44" max="16384" width="8.7265625" style="919"/>
  </cols>
  <sheetData>
    <row r="1" spans="1:41">
      <c r="A1" s="2521" t="s">
        <v>1536</v>
      </c>
      <c r="B1" s="2522"/>
      <c r="C1" s="2522"/>
      <c r="D1" s="2522"/>
      <c r="E1" s="2522"/>
      <c r="G1" s="1" t="s">
        <v>1539</v>
      </c>
      <c r="H1" s="921"/>
      <c r="I1" s="921" t="s">
        <v>169</v>
      </c>
      <c r="J1" s="795">
        <v>43752</v>
      </c>
      <c r="K1" s="921"/>
      <c r="L1" s="921"/>
      <c r="M1" s="921"/>
      <c r="N1" s="921"/>
      <c r="R1" s="2524" t="s">
        <v>637</v>
      </c>
      <c r="S1" s="2524"/>
      <c r="T1" s="2524"/>
      <c r="U1" s="2524"/>
      <c r="V1" s="2524"/>
      <c r="X1" s="922" t="s">
        <v>743</v>
      </c>
      <c r="Y1" s="922"/>
      <c r="Z1" s="922"/>
      <c r="AA1" s="922"/>
      <c r="AB1" s="922"/>
      <c r="AC1" s="922" t="s">
        <v>645</v>
      </c>
      <c r="AD1" s="923">
        <v>7.0000000000000007E-2</v>
      </c>
      <c r="AE1" s="922"/>
      <c r="AF1" s="922"/>
      <c r="AO1" s="924">
        <v>2019</v>
      </c>
    </row>
    <row r="2" spans="1:41">
      <c r="A2" s="925" t="s">
        <v>9</v>
      </c>
      <c r="B2" s="925" t="s">
        <v>633</v>
      </c>
      <c r="C2" s="925" t="s">
        <v>634</v>
      </c>
      <c r="D2" s="925" t="s">
        <v>638</v>
      </c>
      <c r="E2" s="925" t="s">
        <v>639</v>
      </c>
      <c r="F2" s="926"/>
      <c r="G2" s="927" t="s">
        <v>1204</v>
      </c>
      <c r="H2" s="928" t="s">
        <v>134</v>
      </c>
      <c r="I2" s="928" t="s">
        <v>135</v>
      </c>
      <c r="J2" s="928" t="s">
        <v>136</v>
      </c>
      <c r="K2" s="928" t="s">
        <v>137</v>
      </c>
      <c r="L2" s="928" t="s">
        <v>138</v>
      </c>
      <c r="M2" s="927" t="s">
        <v>148</v>
      </c>
      <c r="N2" s="927" t="s">
        <v>1222</v>
      </c>
      <c r="P2" s="929" t="s">
        <v>9</v>
      </c>
      <c r="Q2" s="929" t="s">
        <v>636</v>
      </c>
      <c r="R2" s="930">
        <v>25</v>
      </c>
      <c r="S2" s="929">
        <v>60</v>
      </c>
      <c r="T2" s="929">
        <v>120</v>
      </c>
      <c r="U2" s="929">
        <v>200</v>
      </c>
      <c r="V2" s="929" t="s">
        <v>635</v>
      </c>
      <c r="X2" s="922"/>
      <c r="Y2" s="922"/>
      <c r="Z2" s="922"/>
      <c r="AA2" s="922"/>
      <c r="AB2" s="227" t="s">
        <v>1339</v>
      </c>
      <c r="AC2" s="922"/>
      <c r="AD2" s="931">
        <v>2.5000000000000001E-2</v>
      </c>
      <c r="AE2" s="922"/>
      <c r="AF2" s="923">
        <v>2019</v>
      </c>
      <c r="AO2" s="932" t="s">
        <v>648</v>
      </c>
    </row>
    <row r="3" spans="1:41" ht="15.5">
      <c r="A3" s="933" t="s">
        <v>623</v>
      </c>
      <c r="B3" s="934" t="s">
        <v>364</v>
      </c>
      <c r="C3" s="934" t="s">
        <v>1219</v>
      </c>
      <c r="D3" s="935">
        <v>39.651482000000001</v>
      </c>
      <c r="E3" s="935">
        <v>-105.14570000000001</v>
      </c>
      <c r="G3" s="936" t="s">
        <v>235</v>
      </c>
      <c r="H3" s="937">
        <v>0.43402777777777773</v>
      </c>
      <c r="I3" s="938">
        <v>350.5</v>
      </c>
      <c r="J3" s="940">
        <v>10.72</v>
      </c>
      <c r="K3" s="938">
        <v>12.6</v>
      </c>
      <c r="L3" s="940">
        <v>8.36</v>
      </c>
      <c r="M3" s="2159">
        <v>0.9</v>
      </c>
      <c r="N3" s="942">
        <v>9.4</v>
      </c>
      <c r="P3" s="925" t="s">
        <v>623</v>
      </c>
      <c r="Q3" s="925" t="s">
        <v>747</v>
      </c>
      <c r="R3" s="943">
        <v>2</v>
      </c>
      <c r="S3" s="925">
        <v>4</v>
      </c>
      <c r="T3" s="925">
        <v>8</v>
      </c>
      <c r="U3" s="925">
        <v>17</v>
      </c>
      <c r="V3" s="925">
        <f>100-(R3+S3+T3+U3)</f>
        <v>69</v>
      </c>
      <c r="X3" s="2528" t="s">
        <v>646</v>
      </c>
      <c r="Y3" s="2512"/>
      <c r="Z3" s="944"/>
      <c r="AA3" s="944"/>
      <c r="AB3" s="2527" t="s">
        <v>63</v>
      </c>
      <c r="AC3" s="2527"/>
      <c r="AD3" s="931"/>
      <c r="AE3" s="931" t="s">
        <v>647</v>
      </c>
      <c r="AF3" s="932" t="s">
        <v>648</v>
      </c>
      <c r="AH3" s="945"/>
      <c r="AM3" s="2526" t="s">
        <v>653</v>
      </c>
      <c r="AN3" s="946" t="s">
        <v>654</v>
      </c>
      <c r="AO3" s="947">
        <v>8.7119918004783088</v>
      </c>
    </row>
    <row r="4" spans="1:41" ht="15.5">
      <c r="A4" s="933" t="s">
        <v>644</v>
      </c>
      <c r="B4" s="934" t="s">
        <v>364</v>
      </c>
      <c r="C4" s="934" t="s">
        <v>1219</v>
      </c>
      <c r="D4" s="948">
        <v>39.653061000000001</v>
      </c>
      <c r="E4" s="948">
        <v>-105.141098</v>
      </c>
      <c r="G4" s="936" t="s">
        <v>139</v>
      </c>
      <c r="H4" s="949"/>
      <c r="I4" s="938">
        <v>350.7</v>
      </c>
      <c r="J4" s="940">
        <v>10.57</v>
      </c>
      <c r="K4" s="938">
        <v>12.3</v>
      </c>
      <c r="L4" s="940">
        <v>8.3699999999999992</v>
      </c>
      <c r="M4" s="921"/>
      <c r="N4" s="921"/>
      <c r="P4" s="925" t="s">
        <v>624</v>
      </c>
      <c r="Q4" s="925" t="s">
        <v>747</v>
      </c>
      <c r="R4" s="943">
        <v>3</v>
      </c>
      <c r="S4" s="925">
        <v>5</v>
      </c>
      <c r="T4" s="925">
        <v>11</v>
      </c>
      <c r="U4" s="925">
        <v>14</v>
      </c>
      <c r="V4" s="925">
        <f t="shared" ref="V4:V9" si="0">100-(R4+S4+T4+U4)</f>
        <v>67</v>
      </c>
      <c r="X4" s="2528"/>
      <c r="Y4" s="2512"/>
      <c r="Z4" s="944" t="s">
        <v>665</v>
      </c>
      <c r="AA4" s="944" t="s">
        <v>666</v>
      </c>
      <c r="AB4" s="931" t="s">
        <v>649</v>
      </c>
      <c r="AC4" s="932" t="s">
        <v>650</v>
      </c>
      <c r="AD4" s="931" t="s">
        <v>651</v>
      </c>
      <c r="AE4" s="931" t="s">
        <v>651</v>
      </c>
      <c r="AF4" s="932" t="s">
        <v>652</v>
      </c>
      <c r="AG4" s="1388" t="s">
        <v>1538</v>
      </c>
      <c r="AH4" s="945"/>
      <c r="AM4" s="2526"/>
      <c r="AN4" s="946" t="s">
        <v>655</v>
      </c>
      <c r="AO4" s="947">
        <v>4.4132184719672374</v>
      </c>
    </row>
    <row r="5" spans="1:41" ht="15.5">
      <c r="A5" s="933" t="s">
        <v>642</v>
      </c>
      <c r="B5" s="934" t="s">
        <v>364</v>
      </c>
      <c r="C5" s="934" t="s">
        <v>1219</v>
      </c>
      <c r="D5" s="948">
        <v>39.650140999999998</v>
      </c>
      <c r="E5" s="948">
        <v>-105.144222</v>
      </c>
      <c r="G5" s="936" t="s">
        <v>236</v>
      </c>
      <c r="H5" s="949"/>
      <c r="I5" s="938">
        <v>351</v>
      </c>
      <c r="J5" s="940">
        <v>10.52</v>
      </c>
      <c r="K5" s="938">
        <v>12.2</v>
      </c>
      <c r="L5" s="940">
        <v>8.35</v>
      </c>
      <c r="M5" s="921" t="s">
        <v>904</v>
      </c>
      <c r="N5" s="950">
        <v>16.600000000000001</v>
      </c>
      <c r="P5" s="925" t="s">
        <v>625</v>
      </c>
      <c r="Q5" s="925" t="s">
        <v>747</v>
      </c>
      <c r="R5" s="943">
        <v>4</v>
      </c>
      <c r="S5" s="925">
        <v>6</v>
      </c>
      <c r="T5" s="925">
        <v>13</v>
      </c>
      <c r="U5" s="925">
        <v>19</v>
      </c>
      <c r="V5" s="925">
        <f t="shared" si="0"/>
        <v>58</v>
      </c>
      <c r="X5" s="2506" t="s">
        <v>653</v>
      </c>
      <c r="Y5" s="951" t="s">
        <v>654</v>
      </c>
      <c r="Z5" s="952">
        <v>19.064399999999999</v>
      </c>
      <c r="AA5" s="952">
        <v>23.454899999999999</v>
      </c>
      <c r="AB5" s="952">
        <f t="shared" ref="AB5:AB13" si="1">AA5-Z5</f>
        <v>4.3904999999999994</v>
      </c>
      <c r="AC5" s="953">
        <f t="shared" ref="AC5:AC13" si="2">AB5/1000</f>
        <v>4.3904999999999994E-3</v>
      </c>
      <c r="AD5" s="954">
        <v>1.6</v>
      </c>
      <c r="AE5" s="954">
        <f t="shared" ref="AE5:AE13" si="3">AD5-$AD$1</f>
        <v>1.53</v>
      </c>
      <c r="AF5" s="954">
        <f>((AE5*$AD$2)/$AC5)</f>
        <v>8.7119918004783088</v>
      </c>
      <c r="AG5" s="945">
        <v>0.35</v>
      </c>
      <c r="AH5" s="955"/>
      <c r="AI5" s="945"/>
      <c r="AJ5" s="956"/>
      <c r="AK5" s="957"/>
      <c r="AM5" s="2526" t="s">
        <v>656</v>
      </c>
      <c r="AN5" s="946" t="s">
        <v>657</v>
      </c>
      <c r="AO5" s="947">
        <v>3.51990265948201</v>
      </c>
    </row>
    <row r="6" spans="1:41" ht="15.5">
      <c r="A6" s="933" t="s">
        <v>640</v>
      </c>
      <c r="B6" s="934" t="s">
        <v>364</v>
      </c>
      <c r="C6" s="934" t="s">
        <v>1219</v>
      </c>
      <c r="D6" s="948">
        <v>39.651350999999998</v>
      </c>
      <c r="E6" s="948">
        <v>-105.14048699999999</v>
      </c>
      <c r="G6" s="936" t="s">
        <v>140</v>
      </c>
      <c r="H6" s="949"/>
      <c r="I6" s="938">
        <v>350.9</v>
      </c>
      <c r="J6" s="940">
        <v>10.28</v>
      </c>
      <c r="K6" s="938">
        <v>12.1</v>
      </c>
      <c r="L6" s="940">
        <v>8.32</v>
      </c>
      <c r="M6" s="921" t="s">
        <v>905</v>
      </c>
      <c r="N6" s="958">
        <v>24.33</v>
      </c>
      <c r="P6" s="925" t="s">
        <v>626</v>
      </c>
      <c r="Q6" s="925" t="s">
        <v>747</v>
      </c>
      <c r="R6" s="943">
        <v>1</v>
      </c>
      <c r="S6" s="925">
        <v>4</v>
      </c>
      <c r="T6" s="925">
        <v>23</v>
      </c>
      <c r="U6" s="925">
        <v>18</v>
      </c>
      <c r="V6" s="925">
        <f t="shared" si="0"/>
        <v>54</v>
      </c>
      <c r="X6" s="2508"/>
      <c r="Y6" s="951" t="s">
        <v>655</v>
      </c>
      <c r="Z6" s="952">
        <v>19.078900000000001</v>
      </c>
      <c r="AA6" s="952">
        <v>23.327500000000001</v>
      </c>
      <c r="AB6" s="952">
        <f t="shared" si="1"/>
        <v>4.2485999999999997</v>
      </c>
      <c r="AC6" s="953">
        <f t="shared" si="2"/>
        <v>4.2485999999999999E-3</v>
      </c>
      <c r="AD6" s="954">
        <v>0.82</v>
      </c>
      <c r="AE6" s="954">
        <f t="shared" si="3"/>
        <v>0.75</v>
      </c>
      <c r="AF6" s="954">
        <f t="shared" ref="AF6:AF13" si="4">(AE6*$AD$2)/$AC6</f>
        <v>4.4132184719672374</v>
      </c>
      <c r="AH6" s="955"/>
      <c r="AI6" s="945"/>
      <c r="AJ6" s="956"/>
      <c r="AM6" s="2526"/>
      <c r="AN6" s="946" t="s">
        <v>658</v>
      </c>
      <c r="AO6" s="947">
        <v>6.6494845360824728</v>
      </c>
    </row>
    <row r="7" spans="1:41">
      <c r="A7" s="933" t="s">
        <v>641</v>
      </c>
      <c r="B7" s="934" t="s">
        <v>364</v>
      </c>
      <c r="C7" s="934" t="s">
        <v>1219</v>
      </c>
      <c r="D7" s="948">
        <v>39.648722999999997</v>
      </c>
      <c r="E7" s="948">
        <v>-105.14428700000001</v>
      </c>
      <c r="G7" s="936" t="s">
        <v>237</v>
      </c>
      <c r="H7" s="949"/>
      <c r="I7" s="938">
        <v>351</v>
      </c>
      <c r="J7" s="940">
        <v>10.16</v>
      </c>
      <c r="K7" s="938">
        <v>12.1</v>
      </c>
      <c r="L7" s="940">
        <v>8.2899999999999991</v>
      </c>
      <c r="M7" s="921" t="s">
        <v>906</v>
      </c>
      <c r="N7" s="921">
        <v>5764</v>
      </c>
      <c r="P7" s="925" t="s">
        <v>627</v>
      </c>
      <c r="Q7" s="925" t="s">
        <v>747</v>
      </c>
      <c r="R7" s="925">
        <v>13</v>
      </c>
      <c r="S7" s="925">
        <v>24</v>
      </c>
      <c r="T7" s="925">
        <v>8</v>
      </c>
      <c r="U7" s="925">
        <v>11</v>
      </c>
      <c r="V7" s="925">
        <f t="shared" si="0"/>
        <v>44</v>
      </c>
      <c r="X7" s="2506" t="s">
        <v>656</v>
      </c>
      <c r="Y7" s="951" t="s">
        <v>657</v>
      </c>
      <c r="Z7" s="952">
        <v>19.0564</v>
      </c>
      <c r="AA7" s="952">
        <v>24.8094</v>
      </c>
      <c r="AB7" s="952">
        <f t="shared" si="1"/>
        <v>5.7530000000000001</v>
      </c>
      <c r="AC7" s="953">
        <f t="shared" si="2"/>
        <v>5.7530000000000003E-3</v>
      </c>
      <c r="AD7" s="954">
        <v>0.88</v>
      </c>
      <c r="AE7" s="954">
        <f t="shared" si="3"/>
        <v>0.81</v>
      </c>
      <c r="AF7" s="954">
        <f t="shared" si="4"/>
        <v>3.51990265948201</v>
      </c>
      <c r="AH7" s="945"/>
      <c r="AI7" s="945"/>
      <c r="AM7" s="2526" t="s">
        <v>659</v>
      </c>
      <c r="AN7" s="946" t="s">
        <v>660</v>
      </c>
      <c r="AO7" s="947">
        <v>4.461433386943976</v>
      </c>
    </row>
    <row r="8" spans="1:41">
      <c r="A8" s="933" t="s">
        <v>643</v>
      </c>
      <c r="B8" s="934" t="s">
        <v>364</v>
      </c>
      <c r="C8" s="934" t="s">
        <v>1219</v>
      </c>
      <c r="D8" s="948">
        <v>39.650404999999999</v>
      </c>
      <c r="E8" s="948">
        <v>-105.139538</v>
      </c>
      <c r="G8" s="936" t="s">
        <v>141</v>
      </c>
      <c r="H8" s="949"/>
      <c r="I8" s="938">
        <v>351.2</v>
      </c>
      <c r="J8" s="940">
        <v>9.75</v>
      </c>
      <c r="K8" s="938">
        <v>12.1</v>
      </c>
      <c r="L8" s="940">
        <v>8.26</v>
      </c>
      <c r="M8" s="921"/>
      <c r="N8" s="12"/>
      <c r="P8" s="925" t="s">
        <v>628</v>
      </c>
      <c r="Q8" s="925" t="s">
        <v>747</v>
      </c>
      <c r="R8" s="925">
        <v>6</v>
      </c>
      <c r="S8" s="925">
        <v>13</v>
      </c>
      <c r="T8" s="925">
        <v>13</v>
      </c>
      <c r="U8" s="925">
        <v>16</v>
      </c>
      <c r="V8" s="925">
        <f t="shared" si="0"/>
        <v>52</v>
      </c>
      <c r="X8" s="2508"/>
      <c r="Y8" s="951" t="s">
        <v>658</v>
      </c>
      <c r="Z8" s="952">
        <v>19.128299999999999</v>
      </c>
      <c r="AA8" s="952">
        <v>23.978300000000001</v>
      </c>
      <c r="AB8" s="952">
        <f t="shared" si="1"/>
        <v>4.8500000000000014</v>
      </c>
      <c r="AC8" s="953">
        <f t="shared" si="2"/>
        <v>4.850000000000001E-3</v>
      </c>
      <c r="AD8" s="954">
        <v>1.36</v>
      </c>
      <c r="AE8" s="954">
        <f t="shared" si="3"/>
        <v>1.29</v>
      </c>
      <c r="AF8" s="954">
        <f t="shared" si="4"/>
        <v>6.6494845360824728</v>
      </c>
      <c r="AH8" s="945"/>
      <c r="AI8" s="945"/>
      <c r="AM8" s="2526"/>
      <c r="AN8" s="946" t="s">
        <v>661</v>
      </c>
      <c r="AO8" s="947">
        <v>5.5169273341856826</v>
      </c>
    </row>
    <row r="9" spans="1:41">
      <c r="A9" s="31" t="s">
        <v>1337</v>
      </c>
      <c r="B9" s="358" t="s">
        <v>364</v>
      </c>
      <c r="C9" s="1196" t="s">
        <v>1338</v>
      </c>
      <c r="D9" s="1206">
        <v>39.631399999999999</v>
      </c>
      <c r="E9" s="1206">
        <v>-105.3231</v>
      </c>
      <c r="G9" s="936" t="s">
        <v>238</v>
      </c>
      <c r="H9" s="949"/>
      <c r="I9" s="938">
        <v>351.6</v>
      </c>
      <c r="J9" s="940">
        <v>9.09</v>
      </c>
      <c r="K9" s="938">
        <v>11.9</v>
      </c>
      <c r="L9" s="940">
        <v>8.26</v>
      </c>
      <c r="M9" s="921"/>
      <c r="N9" s="921"/>
      <c r="P9" s="31" t="s">
        <v>1337</v>
      </c>
      <c r="Q9" s="925" t="s">
        <v>747</v>
      </c>
      <c r="R9" s="925">
        <v>2</v>
      </c>
      <c r="S9" s="925">
        <v>3</v>
      </c>
      <c r="T9" s="925">
        <v>4</v>
      </c>
      <c r="U9" s="925">
        <v>12</v>
      </c>
      <c r="V9" s="925">
        <f t="shared" si="0"/>
        <v>79</v>
      </c>
      <c r="X9" s="2506" t="s">
        <v>659</v>
      </c>
      <c r="Y9" s="951" t="s">
        <v>660</v>
      </c>
      <c r="Z9" s="959">
        <v>19.0974</v>
      </c>
      <c r="AA9" s="959">
        <v>23.636299999999999</v>
      </c>
      <c r="AB9" s="952">
        <f t="shared" si="1"/>
        <v>4.5388999999999982</v>
      </c>
      <c r="AC9" s="953">
        <f t="shared" si="2"/>
        <v>4.5388999999999985E-3</v>
      </c>
      <c r="AD9" s="954">
        <v>0.88</v>
      </c>
      <c r="AE9" s="954">
        <f t="shared" si="3"/>
        <v>0.81</v>
      </c>
      <c r="AF9" s="954">
        <f t="shared" si="4"/>
        <v>4.461433386943976</v>
      </c>
      <c r="AH9" s="945"/>
      <c r="AI9" s="945"/>
      <c r="AM9" s="2501" t="s">
        <v>1202</v>
      </c>
      <c r="AN9" s="1208" t="s">
        <v>1337</v>
      </c>
      <c r="AO9" s="947">
        <v>4.3693562481794332</v>
      </c>
    </row>
    <row r="10" spans="1:41">
      <c r="A10" s="1376" t="s">
        <v>1534</v>
      </c>
      <c r="B10" s="1372" t="s">
        <v>258</v>
      </c>
      <c r="C10" s="1196" t="s">
        <v>1534</v>
      </c>
      <c r="D10" s="1206"/>
      <c r="E10" s="1206"/>
      <c r="G10" s="936" t="s">
        <v>142</v>
      </c>
      <c r="H10" s="949"/>
      <c r="I10" s="938">
        <v>351.8</v>
      </c>
      <c r="J10" s="940">
        <v>9.0500000000000007</v>
      </c>
      <c r="K10" s="938">
        <v>11.9</v>
      </c>
      <c r="L10" s="940">
        <v>8.2100000000000009</v>
      </c>
      <c r="M10" s="921"/>
      <c r="N10" s="921"/>
      <c r="P10" s="1373"/>
      <c r="Q10" s="1374"/>
      <c r="R10" s="1375"/>
      <c r="S10" s="1375"/>
      <c r="T10" s="1375"/>
      <c r="U10" s="1375"/>
      <c r="V10" s="1375"/>
      <c r="X10" s="2507"/>
      <c r="Y10" s="951" t="s">
        <v>661</v>
      </c>
      <c r="Z10" s="952">
        <v>19.102499999999999</v>
      </c>
      <c r="AA10" s="952">
        <v>24.812200000000001</v>
      </c>
      <c r="AB10" s="952">
        <f>AA10-Z10</f>
        <v>5.7097000000000016</v>
      </c>
      <c r="AC10" s="953">
        <f>AB10/1000</f>
        <v>5.7097000000000016E-3</v>
      </c>
      <c r="AD10" s="954">
        <v>1.33</v>
      </c>
      <c r="AE10" s="954">
        <f>AD10-$AD$1</f>
        <v>1.26</v>
      </c>
      <c r="AF10" s="954">
        <f>(AE10*$AD$2)/$AC10</f>
        <v>5.5169273341856826</v>
      </c>
      <c r="AH10" s="945"/>
      <c r="AI10" s="945"/>
      <c r="AM10" s="2501"/>
      <c r="AN10" s="1208" t="s">
        <v>1534</v>
      </c>
      <c r="AO10" s="947">
        <v>2.7302873255098192</v>
      </c>
    </row>
    <row r="11" spans="1:41" ht="14.5">
      <c r="A11" s="2523" t="s">
        <v>744</v>
      </c>
      <c r="B11" s="2523"/>
      <c r="C11" s="2523"/>
      <c r="D11" s="2523"/>
      <c r="E11" s="2523"/>
      <c r="G11" s="936" t="s">
        <v>143</v>
      </c>
      <c r="H11" s="949"/>
      <c r="I11" s="938">
        <v>353.1</v>
      </c>
      <c r="J11" s="940">
        <v>9.02</v>
      </c>
      <c r="K11" s="938">
        <v>11.8</v>
      </c>
      <c r="L11" s="940">
        <v>8.18</v>
      </c>
      <c r="M11" s="921"/>
      <c r="N11" s="921"/>
      <c r="R11" s="2525" t="s">
        <v>753</v>
      </c>
      <c r="S11" s="2525"/>
      <c r="T11" s="2525"/>
      <c r="U11" s="2525"/>
      <c r="V11" s="2525"/>
      <c r="X11" s="2508"/>
      <c r="AH11" s="955"/>
      <c r="AI11" s="945"/>
      <c r="AJ11" s="956"/>
    </row>
    <row r="12" spans="1:41" ht="21.5">
      <c r="G12" s="936" t="s">
        <v>144</v>
      </c>
      <c r="H12" s="949"/>
      <c r="I12" s="938">
        <v>355.7</v>
      </c>
      <c r="J12" s="940">
        <v>7.94</v>
      </c>
      <c r="K12" s="938">
        <v>11.7</v>
      </c>
      <c r="L12" s="940">
        <v>8.14</v>
      </c>
      <c r="M12" s="921"/>
      <c r="N12" s="921"/>
      <c r="P12" s="925"/>
      <c r="Q12" s="2157" t="s">
        <v>9</v>
      </c>
      <c r="R12" s="2158" t="s">
        <v>748</v>
      </c>
      <c r="S12" s="2157" t="s">
        <v>749</v>
      </c>
      <c r="T12" s="2157" t="s">
        <v>750</v>
      </c>
      <c r="U12" s="2157" t="s">
        <v>751</v>
      </c>
      <c r="V12" s="2157" t="s">
        <v>752</v>
      </c>
      <c r="X12" s="2491" t="s">
        <v>1340</v>
      </c>
      <c r="Y12" s="1197" t="s">
        <v>1337</v>
      </c>
      <c r="Z12" s="959">
        <v>19.164999999999999</v>
      </c>
      <c r="AA12" s="952">
        <v>24.657800000000002</v>
      </c>
      <c r="AB12" s="959">
        <f t="shared" si="1"/>
        <v>5.4928000000000026</v>
      </c>
      <c r="AC12" s="953">
        <f t="shared" si="2"/>
        <v>5.4928000000000025E-3</v>
      </c>
      <c r="AD12" s="960">
        <v>1.03</v>
      </c>
      <c r="AE12" s="954">
        <f t="shared" si="3"/>
        <v>0.96</v>
      </c>
      <c r="AF12" s="954">
        <f t="shared" si="4"/>
        <v>4.3693562481794332</v>
      </c>
    </row>
    <row r="13" spans="1:41">
      <c r="A13" s="933" t="s">
        <v>9</v>
      </c>
      <c r="B13" s="925" t="s">
        <v>134</v>
      </c>
      <c r="C13" s="925" t="s">
        <v>1220</v>
      </c>
      <c r="D13" s="925" t="s">
        <v>1221</v>
      </c>
      <c r="E13" s="925" t="s">
        <v>5</v>
      </c>
      <c r="F13" s="925"/>
      <c r="G13" s="961" t="s">
        <v>145</v>
      </c>
      <c r="H13" s="949"/>
      <c r="I13" s="938">
        <v>355.2</v>
      </c>
      <c r="J13" s="940">
        <v>7.91</v>
      </c>
      <c r="K13" s="938">
        <v>11.6</v>
      </c>
      <c r="L13" s="940">
        <v>8.1199999999999992</v>
      </c>
      <c r="M13" s="921"/>
      <c r="N13" s="921"/>
      <c r="Q13" s="925" t="s">
        <v>623</v>
      </c>
      <c r="R13" s="962">
        <f t="shared" ref="R13:R19" si="5">R3/100</f>
        <v>0.02</v>
      </c>
      <c r="S13" s="962">
        <f t="shared" ref="S13:V13" si="6">S3/100</f>
        <v>0.04</v>
      </c>
      <c r="T13" s="962">
        <f t="shared" si="6"/>
        <v>0.08</v>
      </c>
      <c r="U13" s="962">
        <f t="shared" si="6"/>
        <v>0.17</v>
      </c>
      <c r="V13" s="962">
        <f t="shared" si="6"/>
        <v>0.69</v>
      </c>
      <c r="W13" s="1145">
        <f t="shared" ref="W13:W19" si="7">SUM(R13:V13)</f>
        <v>1</v>
      </c>
      <c r="X13" s="2502"/>
      <c r="Y13" s="1379" t="s">
        <v>1534</v>
      </c>
      <c r="Z13" s="963">
        <v>19.102399999999999</v>
      </c>
      <c r="AA13" s="963">
        <v>24.138500000000001</v>
      </c>
      <c r="AB13" s="963">
        <f t="shared" si="1"/>
        <v>5.0361000000000011</v>
      </c>
      <c r="AC13" s="964">
        <f t="shared" si="2"/>
        <v>5.0361000000000008E-3</v>
      </c>
      <c r="AD13" s="960">
        <v>0.62</v>
      </c>
      <c r="AE13" s="954">
        <f t="shared" si="3"/>
        <v>0.55000000000000004</v>
      </c>
      <c r="AF13" s="954">
        <f t="shared" si="4"/>
        <v>2.7302873255098192</v>
      </c>
      <c r="AK13" s="2511">
        <v>2019</v>
      </c>
      <c r="AL13" s="2511"/>
    </row>
    <row r="14" spans="1:41">
      <c r="A14" s="933" t="s">
        <v>623</v>
      </c>
      <c r="B14" s="965">
        <v>0.49305555555555558</v>
      </c>
      <c r="C14" s="966">
        <v>1.5</v>
      </c>
      <c r="D14" s="966">
        <v>5.2</v>
      </c>
      <c r="E14" s="31"/>
      <c r="F14" s="925"/>
      <c r="G14" s="961" t="s">
        <v>146</v>
      </c>
      <c r="H14" s="949"/>
      <c r="I14" s="967">
        <v>352.7</v>
      </c>
      <c r="J14" s="940">
        <v>7.9</v>
      </c>
      <c r="K14" s="938">
        <v>11.6</v>
      </c>
      <c r="L14" s="940">
        <v>8.1</v>
      </c>
      <c r="M14" s="921"/>
      <c r="N14" s="921"/>
      <c r="Q14" s="925" t="s">
        <v>624</v>
      </c>
      <c r="R14" s="962">
        <f t="shared" si="5"/>
        <v>0.03</v>
      </c>
      <c r="S14" s="962">
        <f t="shared" ref="S14:V19" si="8">S4/100</f>
        <v>0.05</v>
      </c>
      <c r="T14" s="962">
        <f t="shared" si="8"/>
        <v>0.11</v>
      </c>
      <c r="U14" s="962">
        <f t="shared" si="8"/>
        <v>0.14000000000000001</v>
      </c>
      <c r="V14" s="962">
        <f t="shared" si="8"/>
        <v>0.67</v>
      </c>
      <c r="W14" s="1145">
        <f t="shared" si="7"/>
        <v>1</v>
      </c>
      <c r="X14" s="1198"/>
      <c r="Y14" s="923"/>
      <c r="Z14" s="968"/>
      <c r="AA14" s="963"/>
      <c r="AB14" s="963"/>
      <c r="AC14" s="964"/>
      <c r="AD14" s="960"/>
      <c r="AE14" s="954"/>
      <c r="AF14" s="954"/>
      <c r="AK14" s="969" t="s">
        <v>671</v>
      </c>
      <c r="AL14" s="969" t="s">
        <v>754</v>
      </c>
    </row>
    <row r="15" spans="1:41">
      <c r="A15" s="933" t="s">
        <v>644</v>
      </c>
      <c r="B15" s="965">
        <v>0.45833333333333331</v>
      </c>
      <c r="C15" s="966">
        <v>1.5</v>
      </c>
      <c r="D15" s="966">
        <v>7</v>
      </c>
      <c r="E15" s="31"/>
      <c r="F15" s="925"/>
      <c r="G15" s="961" t="s">
        <v>147</v>
      </c>
      <c r="H15" s="970"/>
      <c r="I15" s="939">
        <v>341.1</v>
      </c>
      <c r="J15" s="940">
        <v>7.9</v>
      </c>
      <c r="K15" s="938">
        <v>11.2</v>
      </c>
      <c r="L15" s="940">
        <v>8.1</v>
      </c>
      <c r="M15" s="921"/>
      <c r="N15" s="921"/>
      <c r="Q15" s="925" t="s">
        <v>625</v>
      </c>
      <c r="R15" s="962">
        <f t="shared" si="5"/>
        <v>0.04</v>
      </c>
      <c r="S15" s="962">
        <f t="shared" si="8"/>
        <v>0.06</v>
      </c>
      <c r="T15" s="962">
        <f t="shared" si="8"/>
        <v>0.13</v>
      </c>
      <c r="U15" s="962">
        <f t="shared" si="8"/>
        <v>0.19</v>
      </c>
      <c r="V15" s="962">
        <f t="shared" si="8"/>
        <v>0.57999999999999996</v>
      </c>
      <c r="W15" s="1145">
        <f t="shared" si="7"/>
        <v>1</v>
      </c>
      <c r="Y15" s="925"/>
      <c r="Z15" s="2514" t="s">
        <v>667</v>
      </c>
      <c r="AA15" s="2514"/>
      <c r="AB15" s="2514"/>
      <c r="AC15" s="2514" t="s">
        <v>668</v>
      </c>
      <c r="AD15" s="2514"/>
      <c r="AE15" s="2514"/>
      <c r="AF15" s="2509" t="s">
        <v>670</v>
      </c>
      <c r="AG15" s="2510"/>
      <c r="AH15" s="971"/>
      <c r="AJ15" s="972" t="s">
        <v>654</v>
      </c>
      <c r="AK15" s="973">
        <f t="shared" ref="AK15:AK22" si="9">AE17</f>
        <v>0.4227740763173839</v>
      </c>
      <c r="AL15" s="974">
        <f t="shared" ref="AL15:AL22" si="10">AH17</f>
        <v>0.20241961158866673</v>
      </c>
    </row>
    <row r="16" spans="1:41" ht="16.5" customHeight="1">
      <c r="A16" s="933" t="s">
        <v>642</v>
      </c>
      <c r="B16" s="965">
        <v>0.48958333333333331</v>
      </c>
      <c r="C16" s="966">
        <v>1.5</v>
      </c>
      <c r="D16" s="966">
        <v>5.2</v>
      </c>
      <c r="E16" s="31"/>
      <c r="F16" s="925"/>
      <c r="G16" s="961" t="s">
        <v>165</v>
      </c>
      <c r="H16" s="970"/>
      <c r="I16" s="939"/>
      <c r="J16" s="940"/>
      <c r="K16" s="938"/>
      <c r="L16" s="940"/>
      <c r="M16" s="921"/>
      <c r="N16" s="921"/>
      <c r="Q16" s="925" t="s">
        <v>626</v>
      </c>
      <c r="R16" s="962">
        <f t="shared" si="5"/>
        <v>0.01</v>
      </c>
      <c r="S16" s="962">
        <f t="shared" si="8"/>
        <v>0.04</v>
      </c>
      <c r="T16" s="962">
        <f t="shared" si="8"/>
        <v>0.23</v>
      </c>
      <c r="U16" s="962">
        <f t="shared" si="8"/>
        <v>0.18</v>
      </c>
      <c r="V16" s="962">
        <f t="shared" si="8"/>
        <v>0.54</v>
      </c>
      <c r="W16" s="1145">
        <f t="shared" si="7"/>
        <v>1</v>
      </c>
      <c r="X16" s="975" t="s">
        <v>646</v>
      </c>
      <c r="Y16" s="931"/>
      <c r="Z16" s="976" t="s">
        <v>665</v>
      </c>
      <c r="AA16" s="976" t="s">
        <v>666</v>
      </c>
      <c r="AB16" s="976" t="s">
        <v>662</v>
      </c>
      <c r="AC16" s="976" t="s">
        <v>669</v>
      </c>
      <c r="AD16" s="977" t="s">
        <v>663</v>
      </c>
      <c r="AE16" s="976" t="s">
        <v>671</v>
      </c>
      <c r="AF16" s="976" t="s">
        <v>670</v>
      </c>
      <c r="AG16" s="976" t="s">
        <v>672</v>
      </c>
      <c r="AH16" s="978" t="s">
        <v>664</v>
      </c>
      <c r="AJ16" s="972" t="s">
        <v>655</v>
      </c>
      <c r="AK16" s="973">
        <f t="shared" si="9"/>
        <v>0.23579227190733806</v>
      </c>
      <c r="AL16" s="974">
        <f t="shared" si="10"/>
        <v>0.11040425189240599</v>
      </c>
    </row>
    <row r="17" spans="1:46" ht="15" customHeight="1">
      <c r="A17" s="933" t="s">
        <v>640</v>
      </c>
      <c r="B17" s="965">
        <v>0.46527777777777773</v>
      </c>
      <c r="C17" s="966">
        <v>1.5</v>
      </c>
      <c r="D17" s="966">
        <v>4.7</v>
      </c>
      <c r="E17" s="31"/>
      <c r="F17" s="925"/>
      <c r="H17" s="949"/>
      <c r="I17" s="939"/>
      <c r="J17" s="979"/>
      <c r="K17" s="979"/>
      <c r="L17" s="980"/>
      <c r="M17" s="921"/>
      <c r="N17" s="921"/>
      <c r="Q17" s="925" t="s">
        <v>627</v>
      </c>
      <c r="R17" s="962">
        <f t="shared" si="5"/>
        <v>0.13</v>
      </c>
      <c r="S17" s="962">
        <f t="shared" si="8"/>
        <v>0.24</v>
      </c>
      <c r="T17" s="962">
        <f t="shared" si="8"/>
        <v>0.08</v>
      </c>
      <c r="U17" s="962">
        <f t="shared" si="8"/>
        <v>0.11</v>
      </c>
      <c r="V17" s="962">
        <f t="shared" si="8"/>
        <v>0.44</v>
      </c>
      <c r="W17" s="1145">
        <f t="shared" si="7"/>
        <v>1</v>
      </c>
      <c r="X17" s="2513" t="s">
        <v>653</v>
      </c>
      <c r="Y17" s="923" t="s">
        <v>654</v>
      </c>
      <c r="Z17" s="981">
        <v>86.204999999999998</v>
      </c>
      <c r="AA17" s="981">
        <v>93.634500000000003</v>
      </c>
      <c r="AB17" s="959">
        <f t="shared" ref="AB17:AB24" si="11">AA17-Z17</f>
        <v>7.4295000000000044</v>
      </c>
      <c r="AC17" s="959">
        <v>89.346000000000004</v>
      </c>
      <c r="AD17" s="959">
        <f t="shared" ref="AD17:AD24" si="12">AC17-Z17</f>
        <v>3.1410000000000053</v>
      </c>
      <c r="AE17" s="974">
        <f t="shared" ref="AE17:AE24" si="13">AD17/AB17</f>
        <v>0.4227740763173839</v>
      </c>
      <c r="AF17" s="952">
        <v>88.7102</v>
      </c>
      <c r="AG17" s="959">
        <f t="shared" ref="AG17:AG24" si="14">AC17-AF17</f>
        <v>0.63580000000000325</v>
      </c>
      <c r="AH17" s="974">
        <f t="shared" ref="AH17:AH24" si="15">1-(AD17-AG17)/AD17</f>
        <v>0.20241961158866673</v>
      </c>
      <c r="AJ17" s="972" t="s">
        <v>657</v>
      </c>
      <c r="AK17" s="973">
        <f t="shared" si="9"/>
        <v>0.34361399769073625</v>
      </c>
      <c r="AL17" s="974">
        <f t="shared" si="10"/>
        <v>0.11289176090468589</v>
      </c>
    </row>
    <row r="18" spans="1:46" ht="13.75" customHeight="1">
      <c r="A18" s="933" t="s">
        <v>641</v>
      </c>
      <c r="B18" s="1204">
        <v>0.4826388888888889</v>
      </c>
      <c r="C18" s="966">
        <v>1.5</v>
      </c>
      <c r="D18" s="966">
        <v>3</v>
      </c>
      <c r="E18" s="31"/>
      <c r="F18" s="925"/>
      <c r="G18" s="982"/>
      <c r="H18" s="936"/>
      <c r="I18" s="979"/>
      <c r="J18" s="983"/>
      <c r="K18" s="984"/>
      <c r="L18" s="985"/>
      <c r="M18" s="986"/>
      <c r="N18" s="986"/>
      <c r="Q18" s="925" t="s">
        <v>628</v>
      </c>
      <c r="R18" s="962">
        <f t="shared" si="5"/>
        <v>0.06</v>
      </c>
      <c r="S18" s="962">
        <f t="shared" si="8"/>
        <v>0.13</v>
      </c>
      <c r="T18" s="962">
        <f t="shared" si="8"/>
        <v>0.13</v>
      </c>
      <c r="U18" s="962">
        <f t="shared" si="8"/>
        <v>0.16</v>
      </c>
      <c r="V18" s="962">
        <f t="shared" si="8"/>
        <v>0.52</v>
      </c>
      <c r="W18" s="1145">
        <f t="shared" si="7"/>
        <v>1</v>
      </c>
      <c r="X18" s="2513"/>
      <c r="Y18" s="923" t="s">
        <v>655</v>
      </c>
      <c r="Z18" s="981">
        <v>76.430599999999998</v>
      </c>
      <c r="AA18" s="981">
        <v>81.697100000000006</v>
      </c>
      <c r="AB18" s="959">
        <f t="shared" si="11"/>
        <v>5.2665000000000077</v>
      </c>
      <c r="AC18" s="987">
        <v>77.672399999999996</v>
      </c>
      <c r="AD18" s="959">
        <f t="shared" si="12"/>
        <v>1.2417999999999978</v>
      </c>
      <c r="AE18" s="974">
        <f t="shared" si="13"/>
        <v>0.23579227190733806</v>
      </c>
      <c r="AF18" s="963">
        <v>77.535300000000007</v>
      </c>
      <c r="AG18" s="959">
        <f t="shared" si="14"/>
        <v>0.13709999999998956</v>
      </c>
      <c r="AH18" s="974">
        <f t="shared" si="15"/>
        <v>0.11040425189240599</v>
      </c>
      <c r="AJ18" s="972" t="s">
        <v>658</v>
      </c>
      <c r="AK18" s="973">
        <f t="shared" si="9"/>
        <v>0.2209895367790094</v>
      </c>
      <c r="AL18" s="974">
        <f t="shared" si="10"/>
        <v>0.11436275676104268</v>
      </c>
    </row>
    <row r="19" spans="1:46" ht="13.75" customHeight="1">
      <c r="A19" s="933" t="s">
        <v>643</v>
      </c>
      <c r="B19" s="1203">
        <v>0.47222222222222227</v>
      </c>
      <c r="C19" s="966">
        <v>1.5</v>
      </c>
      <c r="D19" s="966">
        <v>4.0999999999999996</v>
      </c>
      <c r="E19" s="31"/>
      <c r="F19" s="925"/>
      <c r="G19" s="961"/>
      <c r="H19" s="937"/>
      <c r="I19" s="938"/>
      <c r="J19" s="988"/>
      <c r="K19" s="938"/>
      <c r="L19" s="988"/>
      <c r="M19" s="989"/>
      <c r="N19" s="989"/>
      <c r="Q19" s="31" t="s">
        <v>1337</v>
      </c>
      <c r="R19" s="962">
        <f t="shared" si="5"/>
        <v>0.02</v>
      </c>
      <c r="S19" s="962">
        <f t="shared" si="8"/>
        <v>0.03</v>
      </c>
      <c r="T19" s="962">
        <f t="shared" si="8"/>
        <v>0.04</v>
      </c>
      <c r="U19" s="962">
        <f t="shared" si="8"/>
        <v>0.12</v>
      </c>
      <c r="V19" s="962">
        <f t="shared" si="8"/>
        <v>0.79</v>
      </c>
      <c r="W19" s="1145">
        <f t="shared" si="7"/>
        <v>1</v>
      </c>
      <c r="X19" s="2513" t="s">
        <v>656</v>
      </c>
      <c r="Y19" s="923" t="s">
        <v>657</v>
      </c>
      <c r="Z19" s="981">
        <v>81.707800000000006</v>
      </c>
      <c r="AA19" s="981">
        <v>90.715000000000003</v>
      </c>
      <c r="AB19" s="959">
        <f t="shared" si="11"/>
        <v>9.0071999999999974</v>
      </c>
      <c r="AC19" s="987">
        <v>84.802800000000005</v>
      </c>
      <c r="AD19" s="959">
        <f t="shared" si="12"/>
        <v>3.0949999999999989</v>
      </c>
      <c r="AE19" s="974">
        <f t="shared" si="13"/>
        <v>0.34361399769073625</v>
      </c>
      <c r="AF19" s="963">
        <v>84.453400000000002</v>
      </c>
      <c r="AG19" s="959">
        <f t="shared" si="14"/>
        <v>0.34940000000000282</v>
      </c>
      <c r="AH19" s="974">
        <f t="shared" si="15"/>
        <v>0.11289176090468589</v>
      </c>
      <c r="AJ19" s="972" t="s">
        <v>660</v>
      </c>
      <c r="AK19" s="973">
        <f t="shared" si="9"/>
        <v>0.39541607585962446</v>
      </c>
      <c r="AL19" s="974">
        <f t="shared" si="10"/>
        <v>6.9729654013168774E-2</v>
      </c>
    </row>
    <row r="20" spans="1:46">
      <c r="A20" s="1201" t="s">
        <v>1337</v>
      </c>
      <c r="B20" s="1202"/>
      <c r="C20" s="966">
        <v>1.5</v>
      </c>
      <c r="D20" s="1205">
        <v>6</v>
      </c>
      <c r="E20" s="31"/>
      <c r="G20" s="936"/>
      <c r="H20" s="949"/>
      <c r="I20" s="938"/>
      <c r="J20" s="988"/>
      <c r="K20" s="938"/>
      <c r="L20" s="988"/>
      <c r="M20" s="921"/>
      <c r="N20" s="921"/>
      <c r="X20" s="2513"/>
      <c r="Y20" s="923" t="s">
        <v>658</v>
      </c>
      <c r="Z20" s="981">
        <v>81.941000000000003</v>
      </c>
      <c r="AA20" s="981">
        <v>87.646699999999996</v>
      </c>
      <c r="AB20" s="959">
        <f t="shared" si="11"/>
        <v>5.7056999999999931</v>
      </c>
      <c r="AC20" s="987">
        <v>83.201899999999995</v>
      </c>
      <c r="AD20" s="959">
        <f t="shared" si="12"/>
        <v>1.2608999999999924</v>
      </c>
      <c r="AE20" s="974">
        <f t="shared" si="13"/>
        <v>0.2209895367790094</v>
      </c>
      <c r="AF20" s="963">
        <v>83.057699999999997</v>
      </c>
      <c r="AG20" s="959">
        <f t="shared" si="14"/>
        <v>0.14419999999999789</v>
      </c>
      <c r="AH20" s="974">
        <f t="shared" si="15"/>
        <v>0.11436275676104268</v>
      </c>
      <c r="AJ20" s="972" t="s">
        <v>661</v>
      </c>
      <c r="AK20" s="973">
        <f t="shared" si="9"/>
        <v>0.25062149433472064</v>
      </c>
      <c r="AL20" s="974">
        <f t="shared" si="10"/>
        <v>0.10602133386501711</v>
      </c>
    </row>
    <row r="21" spans="1:46">
      <c r="A21" s="1201" t="s">
        <v>1534</v>
      </c>
      <c r="B21" s="1200"/>
      <c r="C21" s="966">
        <v>1.5</v>
      </c>
      <c r="D21" s="1380">
        <v>2.5</v>
      </c>
      <c r="G21" s="936"/>
      <c r="H21" s="949"/>
      <c r="I21" s="938"/>
      <c r="J21" s="988"/>
      <c r="K21" s="938"/>
      <c r="L21" s="988"/>
      <c r="M21" s="921"/>
      <c r="N21" s="921"/>
      <c r="X21" s="2513" t="s">
        <v>659</v>
      </c>
      <c r="Y21" s="923" t="s">
        <v>660</v>
      </c>
      <c r="Z21" s="990">
        <v>78.912499999999994</v>
      </c>
      <c r="AA21" s="981">
        <v>87.939700000000002</v>
      </c>
      <c r="AB21" s="959">
        <f t="shared" si="11"/>
        <v>9.0272000000000077</v>
      </c>
      <c r="AC21" s="959">
        <v>82.481999999999999</v>
      </c>
      <c r="AD21" s="959">
        <f t="shared" si="12"/>
        <v>3.569500000000005</v>
      </c>
      <c r="AE21" s="974">
        <f t="shared" si="13"/>
        <v>0.39541607585962446</v>
      </c>
      <c r="AF21" s="968">
        <v>82.233099999999993</v>
      </c>
      <c r="AG21" s="959">
        <f t="shared" si="14"/>
        <v>0.24890000000000612</v>
      </c>
      <c r="AH21" s="974">
        <f t="shared" si="15"/>
        <v>6.9729654013168774E-2</v>
      </c>
      <c r="AJ21" s="1214" t="s">
        <v>1337</v>
      </c>
      <c r="AK21" s="973">
        <f t="shared" si="9"/>
        <v>0.28071813665034012</v>
      </c>
      <c r="AL21" s="974">
        <f t="shared" si="10"/>
        <v>0.14667670871775496</v>
      </c>
    </row>
    <row r="22" spans="1:46" ht="15.5">
      <c r="G22" s="936"/>
      <c r="H22" s="949"/>
      <c r="I22" s="938"/>
      <c r="J22" s="988"/>
      <c r="K22" s="938"/>
      <c r="L22" s="988"/>
      <c r="M22" s="921"/>
      <c r="N22" s="921"/>
      <c r="P22" s="991"/>
      <c r="X22" s="2513"/>
      <c r="Y22" s="923" t="s">
        <v>661</v>
      </c>
      <c r="Z22" s="981">
        <v>81.954899999999995</v>
      </c>
      <c r="AA22" s="981">
        <v>89.959800000000001</v>
      </c>
      <c r="AB22" s="959">
        <f t="shared" si="11"/>
        <v>8.0049000000000063</v>
      </c>
      <c r="AC22" s="987">
        <v>83.961100000000002</v>
      </c>
      <c r="AD22" s="959">
        <f t="shared" si="12"/>
        <v>2.0062000000000069</v>
      </c>
      <c r="AE22" s="974">
        <f t="shared" si="13"/>
        <v>0.25062149433472064</v>
      </c>
      <c r="AF22" s="963">
        <v>83.748400000000004</v>
      </c>
      <c r="AG22" s="959">
        <f t="shared" si="14"/>
        <v>0.21269999999999811</v>
      </c>
      <c r="AH22" s="974">
        <f t="shared" si="15"/>
        <v>0.10602133386501711</v>
      </c>
      <c r="AJ22" s="1214" t="s">
        <v>1534</v>
      </c>
      <c r="AK22" s="973">
        <f t="shared" si="9"/>
        <v>0.28382046121748095</v>
      </c>
      <c r="AL22" s="974">
        <f t="shared" si="10"/>
        <v>0.11774655217278929</v>
      </c>
    </row>
    <row r="23" spans="1:46" ht="15.5">
      <c r="G23" s="936"/>
      <c r="H23" s="949"/>
      <c r="I23" s="938"/>
      <c r="J23" s="988"/>
      <c r="K23" s="938"/>
      <c r="L23" s="988"/>
      <c r="M23" s="921"/>
      <c r="N23" s="921"/>
      <c r="P23" s="991"/>
      <c r="X23" s="2491" t="s">
        <v>1340</v>
      </c>
      <c r="Y23" s="1197" t="s">
        <v>1337</v>
      </c>
      <c r="Z23" s="952">
        <v>83.938800000000001</v>
      </c>
      <c r="AA23" s="952">
        <v>89.614599999999996</v>
      </c>
      <c r="AB23" s="959">
        <f t="shared" si="11"/>
        <v>5.6757999999999953</v>
      </c>
      <c r="AC23" s="959">
        <v>85.5321</v>
      </c>
      <c r="AD23" s="959">
        <f t="shared" si="12"/>
        <v>1.5932999999999993</v>
      </c>
      <c r="AE23" s="974">
        <f t="shared" si="13"/>
        <v>0.28071813665034012</v>
      </c>
      <c r="AF23" s="959">
        <v>85.298400000000001</v>
      </c>
      <c r="AG23" s="959">
        <f t="shared" si="14"/>
        <v>0.23369999999999891</v>
      </c>
      <c r="AH23" s="974">
        <f t="shared" si="15"/>
        <v>0.14667670871775496</v>
      </c>
    </row>
    <row r="24" spans="1:46" ht="15.5">
      <c r="G24" s="936"/>
      <c r="H24" s="949"/>
      <c r="I24" s="938"/>
      <c r="J24" s="988"/>
      <c r="K24" s="938"/>
      <c r="L24" s="988"/>
      <c r="M24" s="921"/>
      <c r="N24" s="921"/>
      <c r="P24" s="991"/>
      <c r="X24" s="2502"/>
      <c r="Y24" s="1197" t="s">
        <v>1534</v>
      </c>
      <c r="Z24" s="963">
        <v>82.507900000000006</v>
      </c>
      <c r="AA24" s="963">
        <v>87.924000000000007</v>
      </c>
      <c r="AB24" s="959">
        <f t="shared" si="11"/>
        <v>5.4161000000000001</v>
      </c>
      <c r="AC24" s="963">
        <v>84.045100000000005</v>
      </c>
      <c r="AD24" s="959">
        <f t="shared" si="12"/>
        <v>1.5371999999999986</v>
      </c>
      <c r="AE24" s="974">
        <f t="shared" si="13"/>
        <v>0.28382046121748095</v>
      </c>
      <c r="AF24" s="963">
        <v>83.864099999999993</v>
      </c>
      <c r="AG24" s="959">
        <f t="shared" si="14"/>
        <v>0.1810000000000116</v>
      </c>
      <c r="AH24" s="974">
        <f t="shared" si="15"/>
        <v>0.11774655217278929</v>
      </c>
    </row>
    <row r="25" spans="1:46" ht="15.5">
      <c r="G25" s="936"/>
      <c r="H25" s="949"/>
      <c r="I25" s="938"/>
      <c r="J25" s="988"/>
      <c r="K25" s="938"/>
      <c r="L25" s="988"/>
      <c r="M25" s="921"/>
      <c r="N25" s="921"/>
      <c r="P25" s="991"/>
      <c r="X25" s="1199"/>
      <c r="Y25" s="923"/>
      <c r="Z25" s="925"/>
      <c r="AA25" s="925"/>
      <c r="AB25" s="959"/>
      <c r="AC25" s="925"/>
      <c r="AD25" s="959"/>
      <c r="AE25" s="973"/>
      <c r="AF25" s="925"/>
      <c r="AG25" s="959"/>
      <c r="AH25" s="974"/>
    </row>
    <row r="26" spans="1:46" ht="13.75" customHeight="1">
      <c r="G26" s="936"/>
      <c r="H26" s="949"/>
      <c r="I26" s="938"/>
      <c r="J26" s="988"/>
      <c r="K26" s="938"/>
      <c r="L26" s="988"/>
      <c r="M26" s="921"/>
      <c r="N26" s="921"/>
      <c r="P26" s="991"/>
      <c r="X26" s="922"/>
      <c r="Y26" s="922"/>
      <c r="Z26" s="992">
        <v>2010</v>
      </c>
      <c r="AA26" s="992">
        <v>2011</v>
      </c>
      <c r="AB26" s="992">
        <v>2012</v>
      </c>
      <c r="AC26" s="992" t="s">
        <v>673</v>
      </c>
      <c r="AD26" s="992">
        <v>2014</v>
      </c>
      <c r="AE26" s="992">
        <v>2015</v>
      </c>
      <c r="AF26" s="993">
        <v>2016</v>
      </c>
      <c r="AI26" s="922"/>
    </row>
    <row r="27" spans="1:46" ht="13.75" customHeight="1">
      <c r="G27" s="936"/>
      <c r="H27" s="949"/>
      <c r="I27" s="938"/>
      <c r="J27" s="988"/>
      <c r="K27" s="938"/>
      <c r="L27" s="988"/>
      <c r="M27" s="921"/>
      <c r="N27" s="921"/>
      <c r="X27" s="2506" t="s">
        <v>646</v>
      </c>
      <c r="Y27" s="2515"/>
      <c r="Z27" s="994" t="s">
        <v>648</v>
      </c>
      <c r="AA27" s="994" t="s">
        <v>648</v>
      </c>
      <c r="AB27" s="994" t="s">
        <v>648</v>
      </c>
      <c r="AC27" s="995" t="s">
        <v>674</v>
      </c>
      <c r="AD27" s="994" t="s">
        <v>648</v>
      </c>
      <c r="AE27" s="994" t="s">
        <v>648</v>
      </c>
      <c r="AF27" s="994" t="s">
        <v>648</v>
      </c>
      <c r="AJ27" s="922"/>
      <c r="AK27" s="2503" t="s">
        <v>746</v>
      </c>
      <c r="AL27" s="2504"/>
      <c r="AM27" s="2504"/>
      <c r="AN27" s="2504"/>
      <c r="AO27" s="2504"/>
      <c r="AP27" s="2504"/>
      <c r="AQ27" s="2504"/>
      <c r="AR27" s="2504"/>
      <c r="AS27" s="2504"/>
      <c r="AT27" s="2505"/>
    </row>
    <row r="28" spans="1:46">
      <c r="G28" s="936"/>
      <c r="H28" s="970"/>
      <c r="I28" s="938"/>
      <c r="J28" s="988"/>
      <c r="K28" s="938"/>
      <c r="L28" s="988"/>
      <c r="M28" s="921"/>
      <c r="N28" s="921"/>
      <c r="X28" s="2508"/>
      <c r="Y28" s="2516"/>
      <c r="Z28" s="994" t="s">
        <v>652</v>
      </c>
      <c r="AA28" s="994" t="s">
        <v>652</v>
      </c>
      <c r="AB28" s="994" t="s">
        <v>652</v>
      </c>
      <c r="AC28" s="995" t="s">
        <v>675</v>
      </c>
      <c r="AD28" s="994" t="s">
        <v>652</v>
      </c>
      <c r="AE28" s="994" t="s">
        <v>652</v>
      </c>
      <c r="AF28" s="994" t="s">
        <v>652</v>
      </c>
      <c r="AJ28" s="996"/>
      <c r="AK28" s="1377">
        <v>2010</v>
      </c>
      <c r="AL28" s="1377">
        <v>2011</v>
      </c>
      <c r="AM28" s="1377">
        <v>2012</v>
      </c>
      <c r="AN28" s="1377" t="s">
        <v>673</v>
      </c>
      <c r="AO28" s="1377">
        <v>2014</v>
      </c>
      <c r="AP28" s="1377">
        <v>2015</v>
      </c>
      <c r="AQ28" s="1377">
        <v>2016</v>
      </c>
      <c r="AR28" s="1377">
        <v>2017</v>
      </c>
      <c r="AS28" s="1212">
        <v>2018</v>
      </c>
      <c r="AT28" s="1377">
        <v>2019</v>
      </c>
    </row>
    <row r="29" spans="1:46">
      <c r="G29" s="936"/>
      <c r="H29" s="970"/>
      <c r="I29" s="938"/>
      <c r="J29" s="988"/>
      <c r="K29" s="938"/>
      <c r="L29" s="988"/>
      <c r="M29" s="921"/>
      <c r="N29" s="921"/>
      <c r="X29" s="2506" t="s">
        <v>653</v>
      </c>
      <c r="Y29" s="951" t="s">
        <v>676</v>
      </c>
      <c r="Z29" s="954">
        <v>2.6370406543767548</v>
      </c>
      <c r="AA29" s="954">
        <v>2.4166805029663672</v>
      </c>
      <c r="AB29" s="954">
        <v>1.2993262752646777</v>
      </c>
      <c r="AC29" s="954"/>
      <c r="AD29" s="925"/>
      <c r="AJ29" s="931" t="s">
        <v>654</v>
      </c>
      <c r="AK29" s="954">
        <v>4.1211823868514657</v>
      </c>
      <c r="AL29" s="954">
        <v>6.1080592218524057</v>
      </c>
      <c r="AM29" s="954">
        <v>3.0610045268376802</v>
      </c>
      <c r="AN29" s="954">
        <v>844.92</v>
      </c>
      <c r="AO29" s="954">
        <v>4.4800000000000004</v>
      </c>
      <c r="AP29" s="947">
        <v>8.73</v>
      </c>
      <c r="AQ29" s="947">
        <v>0.65</v>
      </c>
      <c r="AR29" s="1207">
        <v>11.817953231078702</v>
      </c>
      <c r="AS29" s="999">
        <v>3.5425970456887672</v>
      </c>
      <c r="AT29" s="947">
        <v>8.7119918004783088</v>
      </c>
    </row>
    <row r="30" spans="1:46">
      <c r="G30" s="936"/>
      <c r="H30" s="970"/>
      <c r="I30" s="938"/>
      <c r="J30" s="988"/>
      <c r="K30" s="938"/>
      <c r="L30" s="988"/>
      <c r="M30" s="921"/>
      <c r="N30" s="921"/>
      <c r="X30" s="2507"/>
      <c r="Y30" s="951" t="s">
        <v>677</v>
      </c>
      <c r="Z30" s="954">
        <v>6.4286420729898124</v>
      </c>
      <c r="AA30" s="954">
        <v>4.3739860395091013</v>
      </c>
      <c r="AB30" s="954">
        <v>4.9860062560267178</v>
      </c>
      <c r="AC30" s="954"/>
      <c r="AD30" s="925"/>
      <c r="AJ30" s="1000" t="s">
        <v>655</v>
      </c>
      <c r="AK30" s="954">
        <v>3.5015041672831289</v>
      </c>
      <c r="AL30" s="954">
        <v>5.2067836979534228</v>
      </c>
      <c r="AM30" s="954">
        <v>4.3813192103996146</v>
      </c>
      <c r="AN30" s="954">
        <v>1129.92</v>
      </c>
      <c r="AO30" s="954">
        <v>3.06</v>
      </c>
      <c r="AP30" s="947">
        <v>8.43</v>
      </c>
      <c r="AQ30" s="947">
        <v>0.47</v>
      </c>
      <c r="AR30" s="1207">
        <v>5.2066231999624746</v>
      </c>
      <c r="AS30" s="999">
        <v>19.465322471758409</v>
      </c>
      <c r="AT30" s="947">
        <v>4.4132184719672374</v>
      </c>
    </row>
    <row r="31" spans="1:46">
      <c r="G31" s="949"/>
      <c r="H31" s="949"/>
      <c r="I31" s="949"/>
      <c r="J31" s="949"/>
      <c r="K31" s="949"/>
      <c r="L31" s="949"/>
      <c r="M31" s="921"/>
      <c r="N31" s="921"/>
      <c r="X31" s="2507"/>
      <c r="Y31" s="1000" t="s">
        <v>654</v>
      </c>
      <c r="Z31" s="954">
        <v>4.1211823868514657</v>
      </c>
      <c r="AA31" s="954">
        <v>6.1080592218524057</v>
      </c>
      <c r="AB31" s="954">
        <v>3.0610045268376802</v>
      </c>
      <c r="AC31" s="954">
        <v>844.92</v>
      </c>
      <c r="AD31" s="954">
        <v>4.4800000000000004</v>
      </c>
      <c r="AE31" s="999">
        <v>8.73</v>
      </c>
      <c r="AF31" s="999">
        <f>AF5</f>
        <v>8.7119918004783088</v>
      </c>
      <c r="AJ31" s="1000" t="s">
        <v>657</v>
      </c>
      <c r="AK31" s="954">
        <v>7.4663283232480975</v>
      </c>
      <c r="AL31" s="954">
        <v>3.3936332651670083</v>
      </c>
      <c r="AM31" s="954">
        <v>4.8877805486284291</v>
      </c>
      <c r="AN31" s="954">
        <v>1100.76</v>
      </c>
      <c r="AO31" s="954">
        <v>8.07</v>
      </c>
      <c r="AP31" s="947">
        <v>1.89</v>
      </c>
      <c r="AQ31" s="947">
        <v>1.2</v>
      </c>
      <c r="AR31" s="1207">
        <v>3.8605494220945817</v>
      </c>
      <c r="AS31" s="999">
        <v>1.4721869903968117</v>
      </c>
      <c r="AT31" s="947">
        <v>3.51990265948201</v>
      </c>
    </row>
    <row r="32" spans="1:46">
      <c r="G32" s="927" t="s">
        <v>629</v>
      </c>
      <c r="H32" s="928" t="s">
        <v>134</v>
      </c>
      <c r="I32" s="928" t="s">
        <v>135</v>
      </c>
      <c r="J32" s="928" t="s">
        <v>136</v>
      </c>
      <c r="K32" s="928" t="s">
        <v>137</v>
      </c>
      <c r="L32" s="928" t="s">
        <v>138</v>
      </c>
      <c r="M32" s="927" t="s">
        <v>148</v>
      </c>
      <c r="N32" s="927" t="s">
        <v>156</v>
      </c>
      <c r="X32" s="2507"/>
      <c r="Y32" s="951" t="s">
        <v>678</v>
      </c>
      <c r="Z32" s="954">
        <v>5.3199349785724852</v>
      </c>
      <c r="AA32" s="954">
        <v>2.7492439653545286</v>
      </c>
      <c r="AB32" s="954">
        <v>4.6117707906816365</v>
      </c>
      <c r="AC32" s="954"/>
      <c r="AD32" s="925"/>
      <c r="AE32" s="945"/>
      <c r="AJ32" s="1000" t="s">
        <v>658</v>
      </c>
      <c r="AK32" s="954">
        <v>3.1283605435526449</v>
      </c>
      <c r="AL32" s="954">
        <v>2.2027169018312818</v>
      </c>
      <c r="AM32" s="954">
        <v>3.1931106219308645</v>
      </c>
      <c r="AN32" s="954">
        <v>1052.08</v>
      </c>
      <c r="AO32" s="954">
        <v>5.69</v>
      </c>
      <c r="AP32" s="947">
        <v>1.42</v>
      </c>
      <c r="AQ32" s="947">
        <v>3.97</v>
      </c>
      <c r="AR32" s="1207">
        <v>5.325566881630956</v>
      </c>
      <c r="AS32" s="999">
        <v>3.6284470246734388</v>
      </c>
      <c r="AT32" s="947">
        <v>6.6494845360824728</v>
      </c>
    </row>
    <row r="33" spans="7:46">
      <c r="G33" s="936" t="s">
        <v>235</v>
      </c>
      <c r="H33" s="937"/>
      <c r="I33" s="1001"/>
      <c r="J33" s="1002"/>
      <c r="K33" s="1001"/>
      <c r="L33" s="1002"/>
      <c r="M33" s="1003"/>
      <c r="N33" s="989"/>
      <c r="X33" s="2507"/>
      <c r="Y33" s="1000" t="s">
        <v>655</v>
      </c>
      <c r="Z33" s="954">
        <v>3.5015041672831289</v>
      </c>
      <c r="AA33" s="954">
        <v>5.2067836979534228</v>
      </c>
      <c r="AB33" s="954">
        <v>4.3813192103996146</v>
      </c>
      <c r="AC33" s="954">
        <v>1129.92</v>
      </c>
      <c r="AD33" s="954">
        <v>3.06</v>
      </c>
      <c r="AE33" s="999">
        <v>8.43</v>
      </c>
      <c r="AF33" s="999">
        <f>AF6</f>
        <v>4.4132184719672374</v>
      </c>
      <c r="AJ33" s="1000" t="s">
        <v>660</v>
      </c>
      <c r="AK33" s="954">
        <v>7.3158675234799802</v>
      </c>
      <c r="AL33" s="954">
        <v>8.1071638861629065</v>
      </c>
      <c r="AM33" s="954">
        <v>3.88</v>
      </c>
      <c r="AN33" s="954">
        <v>632.82000000000005</v>
      </c>
      <c r="AO33" s="954">
        <v>3.79</v>
      </c>
      <c r="AP33" s="947">
        <v>0.88</v>
      </c>
      <c r="AQ33" s="947">
        <v>0.85</v>
      </c>
      <c r="AR33" s="1207">
        <v>4.1994750656167952</v>
      </c>
      <c r="AS33" s="999">
        <v>2.2196385160131071</v>
      </c>
      <c r="AT33" s="947">
        <v>4.461433386943976</v>
      </c>
    </row>
    <row r="34" spans="7:46">
      <c r="G34" s="936" t="s">
        <v>139</v>
      </c>
      <c r="H34" s="949"/>
      <c r="I34" s="1001"/>
      <c r="J34" s="1002"/>
      <c r="K34" s="1001"/>
      <c r="L34" s="1002"/>
      <c r="M34" s="921"/>
      <c r="N34" s="921"/>
      <c r="X34" s="2508"/>
      <c r="Y34" s="951" t="s">
        <v>679</v>
      </c>
      <c r="Z34" s="954">
        <v>4.0864126778461616</v>
      </c>
      <c r="AA34" s="954">
        <v>1.0770068764942204</v>
      </c>
      <c r="AB34" s="954">
        <v>4.5645645645645656</v>
      </c>
      <c r="AC34" s="954"/>
      <c r="AD34" s="925"/>
      <c r="AE34" s="945"/>
      <c r="AJ34" s="1000" t="s">
        <v>661</v>
      </c>
      <c r="AK34" s="954">
        <v>5.761255556383321</v>
      </c>
      <c r="AL34" s="954">
        <v>1.9119371482176362</v>
      </c>
      <c r="AM34" s="954">
        <v>3.9</v>
      </c>
      <c r="AN34" s="954">
        <v>831.88</v>
      </c>
      <c r="AO34" s="954">
        <v>4.8499999999999996</v>
      </c>
      <c r="AP34" s="947">
        <v>7.25</v>
      </c>
      <c r="AQ34" s="947">
        <v>3.64</v>
      </c>
      <c r="AR34" s="1207">
        <v>4.5097029632654513</v>
      </c>
      <c r="AS34" s="999">
        <v>6.916307236526813</v>
      </c>
      <c r="AT34" s="947">
        <v>5.5169273341856826</v>
      </c>
    </row>
    <row r="35" spans="7:46">
      <c r="G35" s="936" t="s">
        <v>236</v>
      </c>
      <c r="H35" s="949"/>
      <c r="I35" s="1001"/>
      <c r="J35" s="1002"/>
      <c r="K35" s="1001"/>
      <c r="L35" s="1002"/>
      <c r="M35" s="921"/>
      <c r="N35" s="921"/>
      <c r="X35" s="2506" t="s">
        <v>656</v>
      </c>
      <c r="Y35" s="951" t="s">
        <v>680</v>
      </c>
      <c r="Z35" s="954">
        <v>5.3938754995464242</v>
      </c>
      <c r="AA35" s="954">
        <v>4.1364767922466621</v>
      </c>
      <c r="AB35" s="954">
        <v>2.4698261801575097</v>
      </c>
      <c r="AC35" s="954"/>
      <c r="AD35" s="925"/>
      <c r="AE35" s="945"/>
      <c r="AJ35" s="1381" t="s">
        <v>1337</v>
      </c>
      <c r="AP35" s="947">
        <v>0.54</v>
      </c>
      <c r="AS35" s="945">
        <v>4.4374808257001384</v>
      </c>
      <c r="AT35" s="947">
        <v>4.3693562481794332</v>
      </c>
    </row>
    <row r="36" spans="7:46">
      <c r="G36" s="936" t="s">
        <v>140</v>
      </c>
      <c r="H36" s="949"/>
      <c r="I36" s="1001"/>
      <c r="J36" s="1002"/>
      <c r="K36" s="1001"/>
      <c r="L36" s="1002"/>
      <c r="M36" s="921"/>
      <c r="N36" s="921"/>
      <c r="X36" s="2507"/>
      <c r="Y36" s="1000" t="s">
        <v>657</v>
      </c>
      <c r="Z36" s="954">
        <v>7.4663283232480975</v>
      </c>
      <c r="AA36" s="954">
        <v>3.3936332651670083</v>
      </c>
      <c r="AB36" s="954">
        <v>4.8877805486284291</v>
      </c>
      <c r="AC36" s="954">
        <v>1100.76</v>
      </c>
      <c r="AD36" s="954">
        <v>8.07</v>
      </c>
      <c r="AE36" s="999">
        <v>1.89</v>
      </c>
      <c r="AF36" s="999">
        <f>AF7</f>
        <v>3.51990265948201</v>
      </c>
      <c r="AJ36" s="1381" t="s">
        <v>1534</v>
      </c>
      <c r="AT36" s="947">
        <v>2.7302873255098192</v>
      </c>
    </row>
    <row r="37" spans="7:46" ht="14" customHeight="1">
      <c r="G37" s="936" t="s">
        <v>237</v>
      </c>
      <c r="H37" s="949"/>
      <c r="I37" s="1001"/>
      <c r="J37" s="1002"/>
      <c r="K37" s="1001"/>
      <c r="L37" s="1002"/>
      <c r="M37" s="921"/>
      <c r="N37" s="921"/>
      <c r="X37" s="2507"/>
      <c r="Y37" s="951" t="s">
        <v>681</v>
      </c>
      <c r="Z37" s="954">
        <v>6.2458504438488198</v>
      </c>
      <c r="AA37" s="954">
        <v>11.49762708547385</v>
      </c>
      <c r="AB37" s="954">
        <v>3.34</v>
      </c>
      <c r="AC37" s="954"/>
      <c r="AD37" s="925"/>
      <c r="AE37" s="945"/>
      <c r="AK37" s="2500" t="s">
        <v>745</v>
      </c>
      <c r="AL37" s="2500"/>
      <c r="AM37" s="2500"/>
      <c r="AN37" s="2500"/>
      <c r="AO37" s="2500"/>
      <c r="AP37" s="2500"/>
      <c r="AQ37" s="2500"/>
      <c r="AR37" s="2500"/>
      <c r="AS37" s="2500"/>
    </row>
    <row r="38" spans="7:46">
      <c r="G38" s="936" t="s">
        <v>141</v>
      </c>
      <c r="H38" s="949"/>
      <c r="I38" s="1001"/>
      <c r="J38" s="1002"/>
      <c r="K38" s="1001"/>
      <c r="L38" s="1002"/>
      <c r="M38" s="921"/>
      <c r="N38" s="921"/>
      <c r="X38" s="2507"/>
      <c r="Y38" s="1000" t="s">
        <v>658</v>
      </c>
      <c r="Z38" s="954">
        <v>3.1283605435526449</v>
      </c>
      <c r="AA38" s="954">
        <v>2.2027169018312818</v>
      </c>
      <c r="AB38" s="954">
        <v>3.1931106219308645</v>
      </c>
      <c r="AC38" s="954">
        <v>1052.08</v>
      </c>
      <c r="AD38" s="954">
        <v>5.69</v>
      </c>
      <c r="AE38" s="999">
        <v>1.42</v>
      </c>
      <c r="AF38" s="999">
        <f>AF8</f>
        <v>6.6494845360824728</v>
      </c>
      <c r="AJ38" s="922"/>
      <c r="AK38" s="1385">
        <v>2010</v>
      </c>
      <c r="AL38" s="1385">
        <v>2011</v>
      </c>
      <c r="AM38" s="1385">
        <v>2012</v>
      </c>
      <c r="AN38" s="1385">
        <v>2014</v>
      </c>
      <c r="AO38" s="1385">
        <v>2015</v>
      </c>
      <c r="AP38" s="1385">
        <v>2016</v>
      </c>
      <c r="AQ38" s="1385">
        <v>2017</v>
      </c>
      <c r="AR38" s="1215">
        <v>2018</v>
      </c>
      <c r="AS38" s="1385">
        <v>2019</v>
      </c>
    </row>
    <row r="39" spans="7:46">
      <c r="G39" s="936" t="s">
        <v>238</v>
      </c>
      <c r="H39" s="949"/>
      <c r="I39" s="1001"/>
      <c r="J39" s="1002"/>
      <c r="K39" s="1001"/>
      <c r="L39" s="1002"/>
      <c r="M39" s="921"/>
      <c r="N39" s="921"/>
      <c r="X39" s="2508"/>
      <c r="Y39" s="951" t="s">
        <v>682</v>
      </c>
      <c r="Z39" s="954">
        <v>7.7125842038465304</v>
      </c>
      <c r="AA39" s="954">
        <v>6.8606966890027588</v>
      </c>
      <c r="AB39" s="954">
        <v>4.6649897095815236</v>
      </c>
      <c r="AC39" s="954"/>
      <c r="AD39" s="925"/>
      <c r="AE39" s="945"/>
      <c r="AJ39" s="1000" t="s">
        <v>654</v>
      </c>
      <c r="AK39" s="1383">
        <v>0.107</v>
      </c>
      <c r="AL39" s="1383">
        <v>0.107</v>
      </c>
      <c r="AM39" s="1383">
        <v>9.4E-2</v>
      </c>
      <c r="AN39" s="1384">
        <v>0.1014961938927289</v>
      </c>
      <c r="AO39" s="1384">
        <v>9.5000000000000001E-2</v>
      </c>
      <c r="AP39" s="1384">
        <v>0.11</v>
      </c>
      <c r="AQ39" s="1386">
        <v>9.2390822924966587E-2</v>
      </c>
      <c r="AR39" s="1386">
        <v>0.11542036332910421</v>
      </c>
      <c r="AS39" s="974">
        <v>0.20241961158866673</v>
      </c>
    </row>
    <row r="40" spans="7:46">
      <c r="G40" s="936" t="s">
        <v>142</v>
      </c>
      <c r="H40" s="949"/>
      <c r="I40" s="1001"/>
      <c r="J40" s="1002"/>
      <c r="K40" s="1001"/>
      <c r="L40" s="1002"/>
      <c r="M40" s="921"/>
      <c r="N40" s="921"/>
      <c r="X40" s="2506" t="s">
        <v>659</v>
      </c>
      <c r="Y40" s="951" t="s">
        <v>683</v>
      </c>
      <c r="Z40" s="954">
        <v>2.6890920647337797</v>
      </c>
      <c r="AA40" s="954">
        <v>0.51812424813310021</v>
      </c>
      <c r="AB40" s="954">
        <v>0.38</v>
      </c>
      <c r="AC40" s="954"/>
      <c r="AD40" s="925"/>
      <c r="AE40" s="945"/>
      <c r="AJ40" s="1000" t="s">
        <v>655</v>
      </c>
      <c r="AK40" s="973">
        <v>0.1</v>
      </c>
      <c r="AL40" s="973">
        <v>3.5999999999999997E-2</v>
      </c>
      <c r="AM40" s="973">
        <v>0.105</v>
      </c>
      <c r="AN40" s="974">
        <v>9.451671332125966E-2</v>
      </c>
      <c r="AO40" s="974">
        <v>0.122</v>
      </c>
      <c r="AP40" s="974">
        <v>0.11</v>
      </c>
      <c r="AQ40" s="1387">
        <v>0.11189593677879306</v>
      </c>
      <c r="AR40" s="1387">
        <v>0.10622309197651691</v>
      </c>
      <c r="AS40" s="974">
        <v>0.11040425189240599</v>
      </c>
    </row>
    <row r="41" spans="7:46">
      <c r="G41" s="936" t="s">
        <v>143</v>
      </c>
      <c r="H41" s="949"/>
      <c r="I41" s="1001"/>
      <c r="J41" s="1002"/>
      <c r="K41" s="1001"/>
      <c r="L41" s="1002"/>
      <c r="M41" s="921"/>
      <c r="N41" s="921"/>
      <c r="X41" s="2507"/>
      <c r="Y41" s="951" t="s">
        <v>684</v>
      </c>
      <c r="Z41" s="954">
        <v>1.7363694994294789</v>
      </c>
      <c r="AA41" s="954">
        <v>3.224198541895535</v>
      </c>
      <c r="AB41" s="954">
        <v>0.93</v>
      </c>
      <c r="AC41" s="954">
        <v>632.82000000000005</v>
      </c>
      <c r="AD41" s="925"/>
      <c r="AE41" s="945"/>
      <c r="AJ41" s="1000" t="s">
        <v>657</v>
      </c>
      <c r="AK41" s="973">
        <v>0.11</v>
      </c>
      <c r="AL41" s="973">
        <v>0.11799999999999999</v>
      </c>
      <c r="AM41" s="973">
        <v>0.13200000000000001</v>
      </c>
      <c r="AN41" s="974">
        <v>0.10307328605201516</v>
      </c>
      <c r="AO41" s="974">
        <v>0.122</v>
      </c>
      <c r="AP41" s="974">
        <v>0.1</v>
      </c>
      <c r="AQ41" s="1387">
        <v>8.3871415677290839E-2</v>
      </c>
      <c r="AR41" s="1387">
        <v>9.404018234002931E-2</v>
      </c>
      <c r="AS41" s="974">
        <v>0.11289176090468589</v>
      </c>
    </row>
    <row r="42" spans="7:46">
      <c r="G42" s="936" t="s">
        <v>144</v>
      </c>
      <c r="H42" s="949"/>
      <c r="I42" s="1001"/>
      <c r="J42" s="1002"/>
      <c r="K42" s="1001"/>
      <c r="L42" s="1002"/>
      <c r="M42" s="921"/>
      <c r="N42" s="921"/>
      <c r="X42" s="2507"/>
      <c r="Y42" s="1000" t="s">
        <v>660</v>
      </c>
      <c r="Z42" s="954">
        <v>7.3158675234799802</v>
      </c>
      <c r="AA42" s="954">
        <v>8.1071638861629065</v>
      </c>
      <c r="AB42" s="954">
        <v>3.88</v>
      </c>
      <c r="AC42" s="954"/>
      <c r="AD42" s="954">
        <v>3.79</v>
      </c>
      <c r="AE42" s="999">
        <v>0.88</v>
      </c>
      <c r="AF42" s="999">
        <f>AF9</f>
        <v>4.461433386943976</v>
      </c>
      <c r="AJ42" s="1000" t="s">
        <v>658</v>
      </c>
      <c r="AK42" s="973">
        <v>0.128</v>
      </c>
      <c r="AL42" s="973">
        <v>0.104</v>
      </c>
      <c r="AM42" s="973">
        <v>0.109</v>
      </c>
      <c r="AN42" s="974">
        <v>0.11220741807706158</v>
      </c>
      <c r="AO42" s="974">
        <v>0.10100000000000001</v>
      </c>
      <c r="AP42" s="974">
        <v>0.09</v>
      </c>
      <c r="AQ42" s="1387">
        <v>0.10041407867495833</v>
      </c>
      <c r="AR42" s="1387">
        <v>9.1311781162568106E-2</v>
      </c>
      <c r="AS42" s="974">
        <v>0.11436275676104268</v>
      </c>
    </row>
    <row r="43" spans="7:46">
      <c r="G43" s="936" t="s">
        <v>145</v>
      </c>
      <c r="H43" s="949"/>
      <c r="I43" s="1004"/>
      <c r="J43" s="1002"/>
      <c r="K43" s="1001"/>
      <c r="L43" s="1002"/>
      <c r="M43" s="921"/>
      <c r="N43" s="921"/>
      <c r="X43" s="2507"/>
      <c r="Y43" s="951" t="s">
        <v>685</v>
      </c>
      <c r="Z43" s="954">
        <v>6.9890765132816881</v>
      </c>
      <c r="AA43" s="954">
        <v>8.1487420849608192</v>
      </c>
      <c r="AB43" s="954">
        <v>3.18</v>
      </c>
      <c r="AC43" s="954"/>
      <c r="AD43" s="925"/>
      <c r="AE43" s="945"/>
      <c r="AF43" s="945"/>
      <c r="AJ43" s="1000" t="s">
        <v>660</v>
      </c>
      <c r="AK43" s="973">
        <v>0.11899999999999999</v>
      </c>
      <c r="AL43" s="973">
        <v>0.109</v>
      </c>
      <c r="AM43" s="973">
        <v>0.10299999999999999</v>
      </c>
      <c r="AN43" s="974">
        <v>9.8831834607947311E-2</v>
      </c>
      <c r="AO43" s="974">
        <v>1.7999999999999999E-2</v>
      </c>
      <c r="AP43" s="974">
        <v>0.11</v>
      </c>
      <c r="AQ43" s="1387">
        <v>8.3990450698104513E-2</v>
      </c>
      <c r="AR43" s="1387">
        <v>2.5442367289812418E-2</v>
      </c>
      <c r="AS43" s="974">
        <v>6.9729654013168774E-2</v>
      </c>
    </row>
    <row r="44" spans="7:46">
      <c r="G44" s="936" t="s">
        <v>146</v>
      </c>
      <c r="H44" s="949"/>
      <c r="I44" s="1004"/>
      <c r="J44" s="1005"/>
      <c r="K44" s="1006"/>
      <c r="L44" s="1005"/>
      <c r="M44" s="921"/>
      <c r="N44" s="921"/>
      <c r="X44" s="2507"/>
      <c r="Y44" s="1000" t="s">
        <v>661</v>
      </c>
      <c r="Z44" s="954">
        <v>5.761255556383321</v>
      </c>
      <c r="AA44" s="954">
        <v>1.9119371482176362</v>
      </c>
      <c r="AB44" s="954">
        <v>3.9</v>
      </c>
      <c r="AC44" s="954">
        <v>831.88</v>
      </c>
      <c r="AD44" s="954">
        <v>4.8499999999999996</v>
      </c>
      <c r="AE44" s="999">
        <v>7.25</v>
      </c>
      <c r="AF44" s="999">
        <f>AF10</f>
        <v>5.5169273341856826</v>
      </c>
      <c r="AJ44" s="1000" t="s">
        <v>661</v>
      </c>
      <c r="AK44" s="973">
        <v>0.104</v>
      </c>
      <c r="AL44" s="973">
        <v>0.107</v>
      </c>
      <c r="AM44" s="973">
        <v>0.129</v>
      </c>
      <c r="AN44" s="974">
        <v>0.10322069693769864</v>
      </c>
      <c r="AO44" s="1007">
        <v>9.1999999999999998E-2</v>
      </c>
      <c r="AP44" s="974">
        <v>0.11</v>
      </c>
      <c r="AQ44" s="1387">
        <v>9.6026760218649643E-2</v>
      </c>
      <c r="AR44" s="1387">
        <v>0.1060807118882211</v>
      </c>
      <c r="AS44" s="974">
        <v>0.10602133386501711</v>
      </c>
    </row>
    <row r="45" spans="7:46">
      <c r="G45" s="936" t="s">
        <v>147</v>
      </c>
      <c r="H45" s="949"/>
      <c r="I45" s="1008"/>
      <c r="J45" s="1005"/>
      <c r="K45" s="1006"/>
      <c r="L45" s="1005"/>
      <c r="M45" s="921"/>
      <c r="N45" s="921"/>
      <c r="X45" s="2508"/>
      <c r="Y45" s="951" t="s">
        <v>686</v>
      </c>
      <c r="Z45" s="954">
        <v>8.1622495956202545</v>
      </c>
      <c r="AA45" s="954">
        <v>3.1827308037048101</v>
      </c>
      <c r="AB45" s="954">
        <v>1.34</v>
      </c>
      <c r="AC45" s="954"/>
      <c r="AD45" s="925"/>
      <c r="AE45" s="945"/>
      <c r="AJ45" s="1381" t="s">
        <v>1337</v>
      </c>
      <c r="AK45" s="1009"/>
      <c r="AL45" s="1009"/>
      <c r="AM45" s="1009"/>
      <c r="AN45" s="1009"/>
      <c r="AO45" s="1007">
        <v>0.16</v>
      </c>
      <c r="AP45" s="1009"/>
      <c r="AQ45" s="1378"/>
      <c r="AR45" s="1387">
        <v>0.14531561461793818</v>
      </c>
      <c r="AS45" s="974">
        <v>0.14667670871775496</v>
      </c>
    </row>
    <row r="46" spans="7:46">
      <c r="G46" s="927" t="s">
        <v>630</v>
      </c>
      <c r="H46" s="928" t="s">
        <v>134</v>
      </c>
      <c r="I46" s="928" t="s">
        <v>135</v>
      </c>
      <c r="J46" s="928" t="s">
        <v>136</v>
      </c>
      <c r="K46" s="928" t="s">
        <v>137</v>
      </c>
      <c r="L46" s="928" t="s">
        <v>138</v>
      </c>
      <c r="M46" s="927" t="s">
        <v>148</v>
      </c>
      <c r="N46" s="927" t="s">
        <v>156</v>
      </c>
      <c r="X46" s="1010" t="s">
        <v>742</v>
      </c>
      <c r="Y46" s="931" t="s">
        <v>726</v>
      </c>
      <c r="AE46" s="999">
        <v>0.54</v>
      </c>
      <c r="AJ46" s="1381" t="s">
        <v>1534</v>
      </c>
      <c r="AK46" s="1378"/>
      <c r="AL46" s="1378"/>
      <c r="AM46" s="1378"/>
      <c r="AN46" s="1378"/>
      <c r="AO46" s="1378"/>
      <c r="AP46" s="1378"/>
      <c r="AQ46" s="1378"/>
      <c r="AR46" s="1378"/>
      <c r="AS46" s="974">
        <v>0.11774655217278929</v>
      </c>
    </row>
    <row r="47" spans="7:46">
      <c r="G47" s="936" t="s">
        <v>235</v>
      </c>
      <c r="H47" s="937"/>
      <c r="I47" s="1011"/>
      <c r="J47" s="940"/>
      <c r="K47" s="939"/>
      <c r="L47" s="940"/>
      <c r="M47" s="942"/>
      <c r="N47" s="942"/>
    </row>
    <row r="48" spans="7:46" ht="14" customHeight="1">
      <c r="G48" s="936" t="s">
        <v>139</v>
      </c>
      <c r="H48" s="949"/>
      <c r="I48" s="1011"/>
      <c r="J48" s="940"/>
      <c r="K48" s="939"/>
      <c r="L48" s="940"/>
      <c r="M48" s="921"/>
      <c r="N48" s="921"/>
      <c r="X48" s="2517" t="s">
        <v>646</v>
      </c>
      <c r="Y48" s="2519"/>
      <c r="Z48" s="2512">
        <v>2010</v>
      </c>
      <c r="AA48" s="2512"/>
      <c r="AB48" s="2512">
        <v>2011</v>
      </c>
      <c r="AC48" s="2512"/>
      <c r="AD48" s="2512">
        <v>2012</v>
      </c>
      <c r="AE48" s="2512"/>
      <c r="AF48" s="2512">
        <v>2014</v>
      </c>
      <c r="AG48" s="2512"/>
      <c r="AH48" s="2512">
        <v>2015</v>
      </c>
      <c r="AI48" s="2512"/>
      <c r="AK48" s="922"/>
      <c r="AL48" s="2500" t="s">
        <v>746</v>
      </c>
      <c r="AM48" s="2500"/>
      <c r="AN48" s="2500"/>
      <c r="AO48" s="2500"/>
      <c r="AP48" s="2500"/>
      <c r="AQ48" s="2500"/>
      <c r="AR48" s="2500"/>
      <c r="AS48" s="2500"/>
      <c r="AT48" s="2500"/>
    </row>
    <row r="49" spans="7:46">
      <c r="G49" s="936" t="s">
        <v>236</v>
      </c>
      <c r="H49" s="949"/>
      <c r="I49" s="1011"/>
      <c r="J49" s="940"/>
      <c r="K49" s="939"/>
      <c r="L49" s="940"/>
      <c r="M49" s="921"/>
      <c r="N49" s="921"/>
      <c r="X49" s="2518"/>
      <c r="Y49" s="2520"/>
      <c r="Z49" s="932" t="s">
        <v>687</v>
      </c>
      <c r="AA49" s="931" t="s">
        <v>688</v>
      </c>
      <c r="AB49" s="932" t="s">
        <v>687</v>
      </c>
      <c r="AC49" s="931" t="s">
        <v>688</v>
      </c>
      <c r="AD49" s="932" t="s">
        <v>687</v>
      </c>
      <c r="AE49" s="931" t="s">
        <v>688</v>
      </c>
      <c r="AF49" s="932" t="s">
        <v>687</v>
      </c>
      <c r="AG49" s="931" t="s">
        <v>688</v>
      </c>
      <c r="AH49" s="932" t="s">
        <v>687</v>
      </c>
      <c r="AI49" s="931" t="s">
        <v>688</v>
      </c>
      <c r="AK49" s="1012"/>
      <c r="AL49" s="998">
        <v>2010</v>
      </c>
      <c r="AM49" s="998">
        <v>2011</v>
      </c>
      <c r="AN49" s="998">
        <v>2012</v>
      </c>
      <c r="AO49" s="998">
        <v>2014</v>
      </c>
      <c r="AP49" s="998">
        <v>2015</v>
      </c>
      <c r="AQ49" s="998">
        <v>2016</v>
      </c>
      <c r="AR49" s="998">
        <v>2017</v>
      </c>
      <c r="AS49" s="1212">
        <v>2018</v>
      </c>
      <c r="AT49" s="1382">
        <v>2019</v>
      </c>
    </row>
    <row r="50" spans="7:46">
      <c r="G50" s="936" t="s">
        <v>140</v>
      </c>
      <c r="H50" s="949"/>
      <c r="I50" s="1011"/>
      <c r="J50" s="940"/>
      <c r="K50" s="939"/>
      <c r="L50" s="940"/>
      <c r="M50" s="921"/>
      <c r="N50" s="921"/>
      <c r="X50" s="2506" t="s">
        <v>653</v>
      </c>
      <c r="Y50" s="951" t="s">
        <v>676</v>
      </c>
      <c r="Z50" s="923">
        <v>9.1999999999999993</v>
      </c>
      <c r="AA50" s="1013">
        <v>90.77</v>
      </c>
      <c r="AB50" s="1014">
        <v>0.47</v>
      </c>
      <c r="AC50" s="923">
        <v>99.86</v>
      </c>
      <c r="AD50" s="923">
        <v>0.04</v>
      </c>
      <c r="AE50" s="923">
        <v>83.62</v>
      </c>
      <c r="AF50" s="925"/>
      <c r="AG50" s="925"/>
      <c r="AK50" s="1000" t="s">
        <v>654</v>
      </c>
      <c r="AL50" s="1209">
        <v>4.1211823868514657</v>
      </c>
      <c r="AM50" s="1209">
        <v>6.1080592218524057</v>
      </c>
      <c r="AN50" s="1209">
        <v>3.0610045268376802</v>
      </c>
      <c r="AO50" s="1209">
        <v>4.4800000000000004</v>
      </c>
      <c r="AP50" s="1210">
        <v>8.73</v>
      </c>
      <c r="AQ50" s="1211">
        <v>0.65</v>
      </c>
      <c r="AR50" s="1213">
        <v>11.817953231078702</v>
      </c>
      <c r="AS50" s="999">
        <v>3.5425970456887672</v>
      </c>
      <c r="AT50" s="947">
        <v>8.7119918004783088</v>
      </c>
    </row>
    <row r="51" spans="7:46">
      <c r="G51" s="936" t="s">
        <v>237</v>
      </c>
      <c r="H51" s="949"/>
      <c r="I51" s="1011"/>
      <c r="J51" s="940"/>
      <c r="K51" s="939"/>
      <c r="L51" s="940"/>
      <c r="M51" s="921"/>
      <c r="N51" s="921"/>
      <c r="X51" s="2507"/>
      <c r="Y51" s="951" t="s">
        <v>677</v>
      </c>
      <c r="Z51" s="923">
        <v>12</v>
      </c>
      <c r="AA51" s="1013">
        <v>88.02</v>
      </c>
      <c r="AB51" s="923">
        <v>12.11</v>
      </c>
      <c r="AC51" s="923">
        <v>60.71</v>
      </c>
      <c r="AD51" s="923">
        <v>9.7899999999999991</v>
      </c>
      <c r="AE51" s="923">
        <v>26.63</v>
      </c>
      <c r="AF51" s="925"/>
      <c r="AG51" s="925"/>
      <c r="AK51" s="1000" t="s">
        <v>655</v>
      </c>
      <c r="AL51" s="954">
        <v>3.5015041672831289</v>
      </c>
      <c r="AM51" s="954">
        <v>5.2067836979534228</v>
      </c>
      <c r="AN51" s="954">
        <v>4.3813192103996146</v>
      </c>
      <c r="AO51" s="954">
        <v>3.06</v>
      </c>
      <c r="AP51" s="999">
        <v>8.43</v>
      </c>
      <c r="AQ51" s="947">
        <v>0.47</v>
      </c>
      <c r="AR51" s="1207">
        <v>5.2066231999624746</v>
      </c>
      <c r="AS51" s="999">
        <v>19.465322471758409</v>
      </c>
      <c r="AT51" s="947">
        <v>4.4132184719672374</v>
      </c>
    </row>
    <row r="52" spans="7:46">
      <c r="G52" s="936" t="s">
        <v>141</v>
      </c>
      <c r="H52" s="949"/>
      <c r="I52" s="1011"/>
      <c r="J52" s="940"/>
      <c r="K52" s="939"/>
      <c r="L52" s="940"/>
      <c r="M52" s="921"/>
      <c r="N52" s="921"/>
      <c r="X52" s="2507"/>
      <c r="Y52" s="1000" t="s">
        <v>654</v>
      </c>
      <c r="Z52" s="931">
        <v>10.7</v>
      </c>
      <c r="AA52" s="1015">
        <v>89.3</v>
      </c>
      <c r="AB52" s="931">
        <v>10.72</v>
      </c>
      <c r="AC52" s="931">
        <v>45.92</v>
      </c>
      <c r="AD52" s="931">
        <v>9.35</v>
      </c>
      <c r="AE52" s="931">
        <v>22.62</v>
      </c>
      <c r="AF52" s="1015">
        <v>10.1</v>
      </c>
      <c r="AG52" s="931"/>
      <c r="AK52" s="1000" t="s">
        <v>657</v>
      </c>
      <c r="AL52" s="954">
        <v>7.4663283232480975</v>
      </c>
      <c r="AM52" s="954">
        <v>3.3936332651670083</v>
      </c>
      <c r="AN52" s="954">
        <v>4.8877805486284291</v>
      </c>
      <c r="AO52" s="954">
        <v>8.07</v>
      </c>
      <c r="AP52" s="999">
        <v>1.89</v>
      </c>
      <c r="AQ52" s="947">
        <v>1.2</v>
      </c>
      <c r="AR52" s="1207">
        <v>3.8605494220945817</v>
      </c>
      <c r="AS52" s="999">
        <v>1.4721869903968117</v>
      </c>
      <c r="AT52" s="947">
        <v>3.51990265948201</v>
      </c>
    </row>
    <row r="53" spans="7:46">
      <c r="G53" s="936" t="s">
        <v>238</v>
      </c>
      <c r="H53" s="949"/>
      <c r="I53" s="1011"/>
      <c r="J53" s="940"/>
      <c r="K53" s="939"/>
      <c r="L53" s="940"/>
      <c r="M53" s="921"/>
      <c r="N53" s="921"/>
      <c r="X53" s="2507"/>
      <c r="Y53" s="951" t="s">
        <v>678</v>
      </c>
      <c r="Z53" s="923">
        <v>9.5</v>
      </c>
      <c r="AA53" s="1013">
        <v>90.5</v>
      </c>
      <c r="AB53" s="923">
        <v>10.78</v>
      </c>
      <c r="AC53" s="923">
        <v>31.17</v>
      </c>
      <c r="AD53" s="923">
        <v>10.66</v>
      </c>
      <c r="AE53" s="923">
        <v>22.6</v>
      </c>
      <c r="AF53" s="1016"/>
      <c r="AG53" s="925"/>
      <c r="AK53" s="1000" t="s">
        <v>658</v>
      </c>
      <c r="AL53" s="954">
        <v>3.1283605435526449</v>
      </c>
      <c r="AM53" s="954">
        <v>2.2027169018312818</v>
      </c>
      <c r="AN53" s="954">
        <v>3.1931106219308645</v>
      </c>
      <c r="AO53" s="954">
        <v>5.69</v>
      </c>
      <c r="AP53" s="999">
        <v>1.42</v>
      </c>
      <c r="AQ53" s="947">
        <v>3.97</v>
      </c>
      <c r="AR53" s="1207">
        <v>5.325566881630956</v>
      </c>
      <c r="AS53" s="999">
        <v>3.6284470246734388</v>
      </c>
      <c r="AT53" s="947">
        <v>6.6494845360824728</v>
      </c>
    </row>
    <row r="54" spans="7:46">
      <c r="G54" s="936" t="s">
        <v>142</v>
      </c>
      <c r="H54" s="949"/>
      <c r="I54" s="1011"/>
      <c r="J54" s="940"/>
      <c r="K54" s="939"/>
      <c r="L54" s="940"/>
      <c r="M54" s="921"/>
      <c r="N54" s="921"/>
      <c r="X54" s="2507"/>
      <c r="Y54" s="1000" t="s">
        <v>655</v>
      </c>
      <c r="Z54" s="931">
        <v>10</v>
      </c>
      <c r="AA54" s="1015">
        <v>90</v>
      </c>
      <c r="AB54" s="931">
        <v>3.55</v>
      </c>
      <c r="AC54" s="931">
        <v>88.11</v>
      </c>
      <c r="AD54" s="931">
        <v>10.51</v>
      </c>
      <c r="AE54" s="931">
        <v>19.510000000000002</v>
      </c>
      <c r="AF54" s="1015">
        <v>9.5</v>
      </c>
      <c r="AG54" s="931"/>
      <c r="AK54" s="1000" t="s">
        <v>660</v>
      </c>
      <c r="AL54" s="954">
        <v>7.3158675234799802</v>
      </c>
      <c r="AM54" s="954">
        <v>8.1071638861629065</v>
      </c>
      <c r="AN54" s="954">
        <v>3.88</v>
      </c>
      <c r="AO54" s="954">
        <v>3.79</v>
      </c>
      <c r="AP54" s="999">
        <v>0.88</v>
      </c>
      <c r="AQ54" s="947">
        <v>0.85</v>
      </c>
      <c r="AR54" s="1207">
        <v>4.1994750656167952</v>
      </c>
      <c r="AS54" s="999">
        <v>2.2196385160131071</v>
      </c>
      <c r="AT54" s="947">
        <v>4.461433386943976</v>
      </c>
    </row>
    <row r="55" spans="7:46">
      <c r="G55" s="936" t="s">
        <v>143</v>
      </c>
      <c r="H55" s="949"/>
      <c r="I55" s="1011"/>
      <c r="J55" s="940"/>
      <c r="K55" s="939"/>
      <c r="L55" s="940"/>
      <c r="M55" s="921"/>
      <c r="N55" s="921"/>
      <c r="X55" s="2508"/>
      <c r="Y55" s="951" t="s">
        <v>679</v>
      </c>
      <c r="Z55" s="923">
        <v>10</v>
      </c>
      <c r="AA55" s="1013">
        <v>90</v>
      </c>
      <c r="AB55" s="923">
        <v>9.59</v>
      </c>
      <c r="AC55" s="923">
        <v>40.130000000000003</v>
      </c>
      <c r="AD55" s="923">
        <v>12.07</v>
      </c>
      <c r="AE55" s="923">
        <v>25.5</v>
      </c>
      <c r="AF55" s="1016"/>
      <c r="AG55" s="925"/>
      <c r="AK55" s="1000" t="s">
        <v>661</v>
      </c>
      <c r="AL55" s="954">
        <v>5.761255556383321</v>
      </c>
      <c r="AM55" s="954">
        <v>1.9119371482176362</v>
      </c>
      <c r="AN55" s="954">
        <v>3.9</v>
      </c>
      <c r="AO55" s="954">
        <v>4.8499999999999996</v>
      </c>
      <c r="AP55" s="999">
        <v>7.25</v>
      </c>
      <c r="AQ55" s="947">
        <v>3.64</v>
      </c>
      <c r="AR55" s="1207">
        <v>4.5097029632654513</v>
      </c>
      <c r="AS55" s="999">
        <v>6.916307236526813</v>
      </c>
      <c r="AT55" s="947">
        <v>5.5169273341856826</v>
      </c>
    </row>
    <row r="56" spans="7:46">
      <c r="G56" s="936" t="s">
        <v>144</v>
      </c>
      <c r="H56" s="949"/>
      <c r="I56" s="1017"/>
      <c r="J56" s="980"/>
      <c r="K56" s="979"/>
      <c r="L56" s="980"/>
      <c r="M56" s="921"/>
      <c r="N56" s="921"/>
      <c r="X56" s="2506" t="s">
        <v>656</v>
      </c>
      <c r="Y56" s="951" t="s">
        <v>680</v>
      </c>
      <c r="Z56" s="923">
        <v>9.4499999999999993</v>
      </c>
      <c r="AA56" s="1013">
        <v>90.6</v>
      </c>
      <c r="AB56" s="923">
        <v>2.89</v>
      </c>
      <c r="AC56" s="923">
        <v>80.349999999999994</v>
      </c>
      <c r="AD56" s="923">
        <v>4.93</v>
      </c>
      <c r="AE56" s="923">
        <v>73.02</v>
      </c>
      <c r="AF56" s="1016"/>
      <c r="AG56" s="925"/>
      <c r="AK56" s="1381" t="s">
        <v>1337</v>
      </c>
      <c r="AP56" s="999">
        <v>0.54</v>
      </c>
      <c r="AS56" s="999">
        <v>4.4374808257001384</v>
      </c>
      <c r="AT56" s="947">
        <v>4.3693562481794332</v>
      </c>
    </row>
    <row r="57" spans="7:46">
      <c r="G57" s="936" t="s">
        <v>145</v>
      </c>
      <c r="H57" s="986"/>
      <c r="I57" s="1017"/>
      <c r="J57" s="980"/>
      <c r="K57" s="979"/>
      <c r="L57" s="980"/>
      <c r="M57" s="920"/>
      <c r="N57" s="920"/>
      <c r="X57" s="2507"/>
      <c r="Y57" s="1000" t="s">
        <v>657</v>
      </c>
      <c r="Z57" s="931">
        <v>11</v>
      </c>
      <c r="AA57" s="1015">
        <v>89</v>
      </c>
      <c r="AB57" s="931">
        <v>11.87</v>
      </c>
      <c r="AC57" s="931">
        <v>31.66</v>
      </c>
      <c r="AD57" s="931">
        <v>13.15</v>
      </c>
      <c r="AE57" s="931">
        <v>27.18</v>
      </c>
      <c r="AF57" s="1015">
        <v>10.3</v>
      </c>
      <c r="AG57" s="931"/>
      <c r="AK57" s="1381" t="s">
        <v>1534</v>
      </c>
      <c r="AT57" s="947">
        <v>2.7302873255098192</v>
      </c>
    </row>
    <row r="58" spans="7:46">
      <c r="G58" s="936" t="s">
        <v>146</v>
      </c>
      <c r="H58" s="949"/>
      <c r="I58" s="1017"/>
      <c r="J58" s="980"/>
      <c r="K58" s="979"/>
      <c r="L58" s="980"/>
      <c r="M58" s="921"/>
      <c r="N58" s="921"/>
      <c r="X58" s="2507"/>
      <c r="Y58" s="951" t="s">
        <v>681</v>
      </c>
      <c r="Z58" s="923">
        <v>11.7</v>
      </c>
      <c r="AA58" s="1013">
        <v>88.3</v>
      </c>
      <c r="AB58" s="923">
        <v>10.7</v>
      </c>
      <c r="AC58" s="923">
        <v>38.56</v>
      </c>
      <c r="AD58" s="923">
        <v>11.67</v>
      </c>
      <c r="AE58" s="923">
        <v>19.98</v>
      </c>
      <c r="AF58" s="1016"/>
      <c r="AG58" s="925"/>
    </row>
    <row r="59" spans="7:46">
      <c r="G59" s="1018" t="s">
        <v>147</v>
      </c>
      <c r="H59" s="925"/>
      <c r="I59" s="1017"/>
      <c r="J59" s="947"/>
      <c r="K59" s="966"/>
      <c r="L59" s="947"/>
      <c r="X59" s="2507"/>
      <c r="Y59" s="1000" t="s">
        <v>658</v>
      </c>
      <c r="Z59" s="931">
        <v>12.8</v>
      </c>
      <c r="AA59" s="1015">
        <v>87.2</v>
      </c>
      <c r="AB59" s="931">
        <v>10.44</v>
      </c>
      <c r="AC59" s="931">
        <v>56.14</v>
      </c>
      <c r="AD59" s="931">
        <v>10.87</v>
      </c>
      <c r="AE59" s="931">
        <v>21.96</v>
      </c>
      <c r="AF59" s="1015">
        <v>11.2</v>
      </c>
      <c r="AG59" s="931"/>
    </row>
    <row r="60" spans="7:46">
      <c r="G60" s="1018" t="s">
        <v>165</v>
      </c>
      <c r="H60" s="925"/>
      <c r="I60" s="1017"/>
      <c r="J60" s="947"/>
      <c r="K60" s="966"/>
      <c r="L60" s="947"/>
      <c r="X60" s="2508"/>
      <c r="Y60" s="951" t="s">
        <v>682</v>
      </c>
      <c r="Z60" s="923">
        <v>11.5</v>
      </c>
      <c r="AA60" s="1013">
        <v>88.5</v>
      </c>
      <c r="AB60" s="923">
        <v>9.5399999999999991</v>
      </c>
      <c r="AC60" s="923">
        <v>37.53</v>
      </c>
      <c r="AD60" s="923">
        <v>11.29</v>
      </c>
      <c r="AE60" s="923">
        <v>22.24</v>
      </c>
      <c r="AF60" s="1016"/>
      <c r="AG60" s="925"/>
    </row>
    <row r="61" spans="7:46">
      <c r="G61" s="927" t="s">
        <v>631</v>
      </c>
      <c r="H61" s="928" t="s">
        <v>134</v>
      </c>
      <c r="I61" s="928" t="s">
        <v>135</v>
      </c>
      <c r="J61" s="928" t="s">
        <v>136</v>
      </c>
      <c r="K61" s="928" t="s">
        <v>137</v>
      </c>
      <c r="L61" s="928" t="s">
        <v>138</v>
      </c>
      <c r="M61" s="927" t="s">
        <v>148</v>
      </c>
      <c r="N61" s="927" t="s">
        <v>156</v>
      </c>
      <c r="X61" s="2506" t="s">
        <v>659</v>
      </c>
      <c r="Y61" s="951" t="s">
        <v>683</v>
      </c>
      <c r="Z61" s="923">
        <v>11.2</v>
      </c>
      <c r="AA61" s="1013">
        <v>88.8</v>
      </c>
      <c r="AB61" s="923">
        <v>8.48</v>
      </c>
      <c r="AC61" s="923">
        <v>61.08</v>
      </c>
      <c r="AD61" s="923">
        <v>7.68</v>
      </c>
      <c r="AE61" s="923">
        <v>48.06</v>
      </c>
      <c r="AF61" s="1016"/>
      <c r="AG61" s="925"/>
    </row>
    <row r="62" spans="7:46">
      <c r="G62" s="936" t="s">
        <v>235</v>
      </c>
      <c r="H62" s="937"/>
      <c r="I62" s="938"/>
      <c r="J62" s="988"/>
      <c r="K62" s="938"/>
      <c r="L62" s="988"/>
      <c r="M62" s="941"/>
      <c r="N62" s="942"/>
      <c r="X62" s="2507"/>
      <c r="Y62" s="951" t="s">
        <v>684</v>
      </c>
      <c r="Z62" s="923">
        <v>11.7</v>
      </c>
      <c r="AA62" s="1013">
        <v>88.3</v>
      </c>
      <c r="AB62" s="923">
        <v>8.3699999999999992</v>
      </c>
      <c r="AC62" s="923">
        <v>96.98</v>
      </c>
      <c r="AD62" s="923">
        <v>10.54</v>
      </c>
      <c r="AE62" s="923">
        <v>42.81</v>
      </c>
      <c r="AF62" s="1016"/>
      <c r="AG62" s="925"/>
    </row>
    <row r="63" spans="7:46">
      <c r="G63" s="936" t="s">
        <v>139</v>
      </c>
      <c r="H63" s="949"/>
      <c r="I63" s="938"/>
      <c r="J63" s="988"/>
      <c r="K63" s="938"/>
      <c r="L63" s="988"/>
      <c r="M63" s="921"/>
      <c r="N63" s="921"/>
      <c r="X63" s="2507"/>
      <c r="Y63" s="1000" t="s">
        <v>660</v>
      </c>
      <c r="Z63" s="931">
        <v>11.9</v>
      </c>
      <c r="AA63" s="1015">
        <v>88.1</v>
      </c>
      <c r="AB63" s="931">
        <v>10.94</v>
      </c>
      <c r="AC63" s="931">
        <v>93.25</v>
      </c>
      <c r="AD63" s="931">
        <v>10.31</v>
      </c>
      <c r="AE63" s="931">
        <v>42.05</v>
      </c>
      <c r="AF63" s="1015">
        <v>9.9</v>
      </c>
      <c r="AG63" s="931"/>
    </row>
    <row r="64" spans="7:46">
      <c r="G64" s="936" t="s">
        <v>236</v>
      </c>
      <c r="H64" s="949"/>
      <c r="I64" s="938"/>
      <c r="J64" s="988"/>
      <c r="K64" s="938"/>
      <c r="L64" s="988"/>
      <c r="M64" s="921"/>
      <c r="N64" s="921"/>
      <c r="X64" s="2507"/>
      <c r="Y64" s="951" t="s">
        <v>685</v>
      </c>
      <c r="Z64" s="923">
        <v>12.7</v>
      </c>
      <c r="AA64" s="1013">
        <v>87.3</v>
      </c>
      <c r="AB64" s="923">
        <v>10.95</v>
      </c>
      <c r="AC64" s="923">
        <v>94.5</v>
      </c>
      <c r="AD64" s="923">
        <v>19.010000000000002</v>
      </c>
      <c r="AE64" s="923">
        <v>36.15</v>
      </c>
      <c r="AF64" s="925"/>
      <c r="AG64" s="925"/>
    </row>
    <row r="65" spans="7:38">
      <c r="G65" s="936" t="s">
        <v>140</v>
      </c>
      <c r="H65" s="949"/>
      <c r="I65" s="938"/>
      <c r="J65" s="988"/>
      <c r="K65" s="938"/>
      <c r="L65" s="988"/>
      <c r="M65" s="921"/>
      <c r="N65" s="921"/>
      <c r="X65" s="2507"/>
      <c r="Y65" s="1000" t="s">
        <v>661</v>
      </c>
      <c r="Z65" s="931">
        <v>10.4</v>
      </c>
      <c r="AA65" s="1015">
        <v>89.6</v>
      </c>
      <c r="AB65" s="931">
        <v>10.66</v>
      </c>
      <c r="AC65" s="931">
        <v>60.57</v>
      </c>
      <c r="AD65" s="931">
        <v>12.86</v>
      </c>
      <c r="AE65" s="931">
        <v>39.340000000000003</v>
      </c>
      <c r="AF65" s="931">
        <v>10.3</v>
      </c>
      <c r="AG65" s="931"/>
    </row>
    <row r="66" spans="7:38">
      <c r="G66" s="936" t="s">
        <v>237</v>
      </c>
      <c r="H66" s="949"/>
      <c r="I66" s="938"/>
      <c r="J66" s="988"/>
      <c r="K66" s="938"/>
      <c r="L66" s="988"/>
      <c r="M66" s="921"/>
      <c r="N66" s="921"/>
      <c r="X66" s="2508"/>
      <c r="Y66" s="951" t="s">
        <v>686</v>
      </c>
      <c r="Z66" s="923">
        <v>10.7</v>
      </c>
      <c r="AA66" s="1013">
        <v>89.3</v>
      </c>
      <c r="AB66" s="923">
        <v>10.75</v>
      </c>
      <c r="AC66" s="923">
        <v>96.31</v>
      </c>
      <c r="AD66" s="923">
        <v>4.82</v>
      </c>
      <c r="AE66" s="923">
        <v>85.74</v>
      </c>
      <c r="AF66" s="925"/>
      <c r="AG66" s="925"/>
    </row>
    <row r="67" spans="7:38">
      <c r="G67" s="936" t="s">
        <v>141</v>
      </c>
      <c r="H67" s="949"/>
      <c r="I67" s="1019"/>
      <c r="J67" s="988"/>
      <c r="K67" s="938"/>
      <c r="L67" s="988"/>
      <c r="M67" s="921"/>
      <c r="N67" s="921"/>
    </row>
    <row r="68" spans="7:38">
      <c r="G68" s="936" t="s">
        <v>238</v>
      </c>
      <c r="H68" s="949"/>
      <c r="I68" s="1019"/>
      <c r="J68" s="988"/>
      <c r="K68" s="938"/>
      <c r="L68" s="988"/>
      <c r="M68" s="921"/>
      <c r="N68" s="921"/>
    </row>
    <row r="69" spans="7:38">
      <c r="G69" s="936" t="s">
        <v>142</v>
      </c>
      <c r="H69" s="949"/>
      <c r="I69" s="1019"/>
      <c r="J69" s="988"/>
      <c r="K69" s="938"/>
      <c r="L69" s="988"/>
      <c r="M69" s="921"/>
      <c r="N69" s="921"/>
    </row>
    <row r="70" spans="7:38">
      <c r="G70" s="936" t="s">
        <v>143</v>
      </c>
      <c r="H70" s="949"/>
      <c r="I70" s="1019"/>
      <c r="J70" s="988"/>
      <c r="K70" s="938"/>
      <c r="L70" s="988"/>
      <c r="M70" s="921"/>
      <c r="N70" s="921"/>
    </row>
    <row r="71" spans="7:38">
      <c r="G71" s="936" t="s">
        <v>144</v>
      </c>
      <c r="H71" s="949"/>
      <c r="I71" s="1019"/>
      <c r="J71" s="988"/>
      <c r="K71" s="938"/>
      <c r="L71" s="988"/>
      <c r="M71" s="921"/>
      <c r="N71" s="921"/>
    </row>
    <row r="72" spans="7:38">
      <c r="G72" s="927" t="s">
        <v>632</v>
      </c>
      <c r="H72" s="928" t="s">
        <v>134</v>
      </c>
      <c r="I72" s="928" t="s">
        <v>135</v>
      </c>
      <c r="J72" s="928" t="s">
        <v>136</v>
      </c>
      <c r="K72" s="928" t="s">
        <v>137</v>
      </c>
      <c r="L72" s="928" t="s">
        <v>138</v>
      </c>
      <c r="M72" s="927" t="s">
        <v>148</v>
      </c>
      <c r="N72" s="927" t="s">
        <v>156</v>
      </c>
    </row>
    <row r="73" spans="7:38">
      <c r="G73" s="936" t="s">
        <v>235</v>
      </c>
      <c r="H73" s="937"/>
      <c r="I73" s="939"/>
      <c r="J73" s="940"/>
      <c r="K73" s="939"/>
      <c r="L73" s="940"/>
      <c r="M73" s="1003"/>
      <c r="N73" s="989"/>
    </row>
    <row r="74" spans="7:38">
      <c r="G74" s="936" t="s">
        <v>139</v>
      </c>
      <c r="H74" s="949"/>
      <c r="I74" s="939"/>
      <c r="J74" s="940"/>
      <c r="K74" s="939"/>
      <c r="L74" s="940"/>
      <c r="M74" s="921"/>
      <c r="N74" s="921"/>
    </row>
    <row r="75" spans="7:38">
      <c r="G75" s="936" t="s">
        <v>236</v>
      </c>
      <c r="H75" s="949"/>
      <c r="I75" s="939"/>
      <c r="J75" s="940"/>
      <c r="K75" s="939"/>
      <c r="L75" s="940"/>
      <c r="M75" s="921"/>
      <c r="N75" s="921"/>
      <c r="AL75" s="929" t="s">
        <v>1223</v>
      </c>
    </row>
    <row r="76" spans="7:38">
      <c r="G76" s="936" t="s">
        <v>140</v>
      </c>
      <c r="H76" s="949"/>
      <c r="I76" s="939"/>
      <c r="J76" s="940"/>
      <c r="K76" s="939"/>
      <c r="L76" s="940"/>
      <c r="M76" s="921"/>
      <c r="N76" s="921"/>
      <c r="AL76" s="997" t="s">
        <v>673</v>
      </c>
    </row>
    <row r="77" spans="7:38">
      <c r="G77" s="936" t="s">
        <v>237</v>
      </c>
      <c r="H77" s="949"/>
      <c r="I77" s="939"/>
      <c r="J77" s="940"/>
      <c r="K77" s="939"/>
      <c r="L77" s="940"/>
      <c r="M77" s="921"/>
      <c r="N77" s="921"/>
      <c r="AK77" s="931" t="s">
        <v>654</v>
      </c>
      <c r="AL77" s="954">
        <v>844.92</v>
      </c>
    </row>
    <row r="78" spans="7:38">
      <c r="G78" s="936" t="s">
        <v>141</v>
      </c>
      <c r="H78" s="949"/>
      <c r="I78" s="939"/>
      <c r="J78" s="940"/>
      <c r="K78" s="939"/>
      <c r="L78" s="940"/>
      <c r="M78" s="921"/>
      <c r="N78" s="921"/>
      <c r="AK78" s="1000" t="s">
        <v>655</v>
      </c>
      <c r="AL78" s="954">
        <v>1129.92</v>
      </c>
    </row>
    <row r="79" spans="7:38">
      <c r="G79" s="936" t="s">
        <v>238</v>
      </c>
      <c r="H79" s="949"/>
      <c r="I79" s="939"/>
      <c r="J79" s="940"/>
      <c r="K79" s="939"/>
      <c r="L79" s="940"/>
      <c r="M79" s="921"/>
      <c r="N79" s="921"/>
      <c r="AK79" s="1000" t="s">
        <v>657</v>
      </c>
      <c r="AL79" s="954">
        <v>1100.76</v>
      </c>
    </row>
    <row r="80" spans="7:38">
      <c r="G80" s="936" t="s">
        <v>142</v>
      </c>
      <c r="H80" s="949"/>
      <c r="I80" s="939"/>
      <c r="J80" s="940"/>
      <c r="K80" s="939"/>
      <c r="L80" s="940"/>
      <c r="M80" s="921"/>
      <c r="N80" s="921"/>
      <c r="AK80" s="1000" t="s">
        <v>658</v>
      </c>
      <c r="AL80" s="954">
        <v>1052.08</v>
      </c>
    </row>
    <row r="81" spans="7:38">
      <c r="G81" s="936" t="s">
        <v>143</v>
      </c>
      <c r="H81" s="949"/>
      <c r="I81" s="939"/>
      <c r="J81" s="940"/>
      <c r="K81" s="939"/>
      <c r="L81" s="940"/>
      <c r="M81" s="921"/>
      <c r="N81" s="921"/>
      <c r="AK81" s="1000" t="s">
        <v>660</v>
      </c>
      <c r="AL81" s="954">
        <v>632.82000000000005</v>
      </c>
    </row>
    <row r="82" spans="7:38">
      <c r="G82" s="936" t="s">
        <v>144</v>
      </c>
      <c r="H82" s="925"/>
      <c r="I82" s="966"/>
      <c r="J82" s="947"/>
      <c r="K82" s="966"/>
      <c r="L82" s="947"/>
      <c r="AK82" s="1000" t="s">
        <v>661</v>
      </c>
      <c r="AL82" s="954">
        <v>831.88</v>
      </c>
    </row>
    <row r="83" spans="7:38">
      <c r="G83" s="936" t="s">
        <v>145</v>
      </c>
      <c r="H83" s="925"/>
      <c r="I83" s="966"/>
      <c r="J83" s="947"/>
      <c r="K83" s="966"/>
      <c r="L83" s="947"/>
    </row>
  </sheetData>
  <mergeCells count="41">
    <mergeCell ref="A1:E1"/>
    <mergeCell ref="A11:E11"/>
    <mergeCell ref="R1:V1"/>
    <mergeCell ref="R11:V11"/>
    <mergeCell ref="AM3:AM4"/>
    <mergeCell ref="AM5:AM6"/>
    <mergeCell ref="AM7:AM8"/>
    <mergeCell ref="AB3:AC3"/>
    <mergeCell ref="X5:X6"/>
    <mergeCell ref="X7:X8"/>
    <mergeCell ref="X9:X11"/>
    <mergeCell ref="X3:X4"/>
    <mergeCell ref="Y3:Y4"/>
    <mergeCell ref="X19:X20"/>
    <mergeCell ref="X21:X22"/>
    <mergeCell ref="X61:X66"/>
    <mergeCell ref="AF48:AG48"/>
    <mergeCell ref="X48:X49"/>
    <mergeCell ref="Y48:Y49"/>
    <mergeCell ref="Z48:AA48"/>
    <mergeCell ref="AB48:AC48"/>
    <mergeCell ref="AD48:AE48"/>
    <mergeCell ref="X56:X60"/>
    <mergeCell ref="X50:X55"/>
    <mergeCell ref="X29:X34"/>
    <mergeCell ref="AL48:AT48"/>
    <mergeCell ref="AM9:AM10"/>
    <mergeCell ref="X12:X13"/>
    <mergeCell ref="X23:X24"/>
    <mergeCell ref="AK27:AT27"/>
    <mergeCell ref="AK37:AS37"/>
    <mergeCell ref="X35:X39"/>
    <mergeCell ref="X40:X45"/>
    <mergeCell ref="X27:X28"/>
    <mergeCell ref="AF15:AG15"/>
    <mergeCell ref="AK13:AL13"/>
    <mergeCell ref="AH48:AI48"/>
    <mergeCell ref="X17:X18"/>
    <mergeCell ref="Z15:AB15"/>
    <mergeCell ref="AC15:AE15"/>
    <mergeCell ref="Y27:Y28"/>
  </mergeCells>
  <phoneticPr fontId="38" type="noConversion"/>
  <pageMargins left="0.75" right="0.25" top="0.5" bottom="0.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3" tint="0.59999389629810485"/>
  </sheetPr>
  <dimension ref="A1:F58"/>
  <sheetViews>
    <sheetView topLeftCell="A37" workbookViewId="0">
      <selection activeCell="A54" sqref="A54:F54"/>
    </sheetView>
  </sheetViews>
  <sheetFormatPr defaultRowHeight="14"/>
  <cols>
    <col min="1" max="1" width="10.90625" bestFit="1" customWidth="1"/>
    <col min="2" max="2" width="37" bestFit="1" customWidth="1"/>
    <col min="3" max="3" width="9.1796875" bestFit="1" customWidth="1"/>
    <col min="4" max="4" width="11.36328125" bestFit="1" customWidth="1"/>
    <col min="5" max="5" width="7.81640625" bestFit="1" customWidth="1"/>
    <col min="6" max="6" width="8.1796875" customWidth="1"/>
  </cols>
  <sheetData>
    <row r="1" spans="1:6" ht="24" customHeight="1">
      <c r="A1" s="401" t="s">
        <v>210</v>
      </c>
      <c r="B1" s="2530" t="s">
        <v>801</v>
      </c>
      <c r="C1" s="2538">
        <v>2016</v>
      </c>
      <c r="D1" s="2539"/>
      <c r="E1" s="2540"/>
      <c r="F1" s="2530" t="s">
        <v>381</v>
      </c>
    </row>
    <row r="2" spans="1:6">
      <c r="A2" s="402"/>
      <c r="B2" s="2531"/>
      <c r="C2" s="403" t="s">
        <v>382</v>
      </c>
      <c r="D2" s="403" t="s">
        <v>342</v>
      </c>
      <c r="E2" s="403" t="s">
        <v>318</v>
      </c>
      <c r="F2" s="2531"/>
    </row>
    <row r="3" spans="1:6">
      <c r="A3" s="2532" t="s">
        <v>778</v>
      </c>
      <c r="B3" s="2533"/>
      <c r="C3" s="2533"/>
      <c r="D3" s="2533"/>
      <c r="E3" s="2533"/>
      <c r="F3" s="2534"/>
    </row>
    <row r="4" spans="1:6">
      <c r="A4" s="407" t="s">
        <v>288</v>
      </c>
      <c r="B4" s="407" t="s">
        <v>788</v>
      </c>
      <c r="C4" s="408" t="s">
        <v>258</v>
      </c>
      <c r="D4" s="408" t="s">
        <v>258</v>
      </c>
      <c r="E4" s="408" t="s">
        <v>258</v>
      </c>
      <c r="F4" s="408" t="s">
        <v>319</v>
      </c>
    </row>
    <row r="5" spans="1:6">
      <c r="A5" s="407" t="s">
        <v>844</v>
      </c>
      <c r="B5" s="407" t="s">
        <v>845</v>
      </c>
      <c r="C5" s="408" t="s">
        <v>258</v>
      </c>
      <c r="D5" s="408"/>
      <c r="E5" s="408"/>
      <c r="F5" s="408"/>
    </row>
    <row r="6" spans="1:6">
      <c r="A6" s="407" t="s">
        <v>287</v>
      </c>
      <c r="B6" s="407" t="s">
        <v>320</v>
      </c>
      <c r="C6" s="408" t="s">
        <v>258</v>
      </c>
      <c r="D6" s="408" t="s">
        <v>258</v>
      </c>
      <c r="E6" s="408" t="s">
        <v>258</v>
      </c>
      <c r="F6" s="408" t="s">
        <v>319</v>
      </c>
    </row>
    <row r="7" spans="1:6">
      <c r="A7" s="407" t="s">
        <v>213</v>
      </c>
      <c r="B7" s="407" t="s">
        <v>214</v>
      </c>
      <c r="C7" s="408" t="s">
        <v>258</v>
      </c>
      <c r="D7" s="408" t="s">
        <v>344</v>
      </c>
      <c r="E7" s="408" t="s">
        <v>258</v>
      </c>
      <c r="F7" s="408"/>
    </row>
    <row r="8" spans="1:6">
      <c r="A8" s="2532" t="s">
        <v>779</v>
      </c>
      <c r="B8" s="2533"/>
      <c r="C8" s="2533"/>
      <c r="D8" s="2533"/>
      <c r="E8" s="2533"/>
      <c r="F8" s="2534"/>
    </row>
    <row r="9" spans="1:6">
      <c r="A9" s="407" t="s">
        <v>321</v>
      </c>
      <c r="B9" s="407" t="s">
        <v>341</v>
      </c>
      <c r="C9" s="408" t="s">
        <v>258</v>
      </c>
      <c r="D9" s="408" t="s">
        <v>344</v>
      </c>
      <c r="E9" s="408" t="s">
        <v>258</v>
      </c>
      <c r="F9" s="408" t="s">
        <v>319</v>
      </c>
    </row>
    <row r="10" spans="1:6">
      <c r="A10" s="409" t="s">
        <v>499</v>
      </c>
      <c r="B10" s="407" t="s">
        <v>469</v>
      </c>
      <c r="C10" s="408" t="s">
        <v>322</v>
      </c>
      <c r="D10" s="408"/>
      <c r="E10" s="408" t="s">
        <v>258</v>
      </c>
      <c r="F10" s="410"/>
    </row>
    <row r="11" spans="1:6">
      <c r="A11" s="2529" t="s">
        <v>323</v>
      </c>
      <c r="B11" s="2529"/>
      <c r="C11" s="2529"/>
      <c r="D11" s="2529"/>
      <c r="E11" s="2529"/>
      <c r="F11" s="2529"/>
    </row>
    <row r="12" spans="1:6">
      <c r="A12" s="407" t="s">
        <v>790</v>
      </c>
      <c r="B12" s="407" t="s">
        <v>791</v>
      </c>
      <c r="C12" s="408" t="s">
        <v>258</v>
      </c>
      <c r="D12" s="408"/>
      <c r="E12" s="408" t="s">
        <v>258</v>
      </c>
      <c r="F12" s="408" t="s">
        <v>319</v>
      </c>
    </row>
    <row r="13" spans="1:6">
      <c r="A13" s="407" t="s">
        <v>192</v>
      </c>
      <c r="B13" s="407" t="s">
        <v>347</v>
      </c>
      <c r="C13" s="408" t="s">
        <v>349</v>
      </c>
      <c r="D13" s="410"/>
      <c r="E13" s="410"/>
      <c r="F13" s="410"/>
    </row>
    <row r="14" spans="1:6">
      <c r="A14" s="407" t="s">
        <v>346</v>
      </c>
      <c r="B14" s="407" t="s">
        <v>348</v>
      </c>
      <c r="C14" s="408" t="s">
        <v>349</v>
      </c>
      <c r="D14" s="410"/>
      <c r="E14" s="410"/>
      <c r="F14" s="410"/>
    </row>
    <row r="15" spans="1:6">
      <c r="A15" s="2529" t="s">
        <v>780</v>
      </c>
      <c r="B15" s="2529"/>
      <c r="C15" s="2529"/>
      <c r="D15" s="2529"/>
      <c r="E15" s="2529"/>
      <c r="F15" s="2529"/>
    </row>
    <row r="16" spans="1:6">
      <c r="A16" s="407" t="s">
        <v>789</v>
      </c>
      <c r="B16" s="407" t="s">
        <v>792</v>
      </c>
      <c r="C16" s="408" t="s">
        <v>258</v>
      </c>
      <c r="D16" s="408"/>
      <c r="E16" s="408" t="s">
        <v>364</v>
      </c>
      <c r="F16" s="408" t="s">
        <v>324</v>
      </c>
    </row>
    <row r="17" spans="1:6">
      <c r="A17" s="2529" t="s">
        <v>781</v>
      </c>
      <c r="B17" s="2529"/>
      <c r="C17" s="2529"/>
      <c r="D17" s="2529"/>
      <c r="E17" s="2529"/>
      <c r="F17" s="2529"/>
    </row>
    <row r="18" spans="1:6">
      <c r="A18" s="407" t="s">
        <v>510</v>
      </c>
      <c r="B18" s="407" t="s">
        <v>798</v>
      </c>
      <c r="C18" s="408" t="s">
        <v>258</v>
      </c>
      <c r="D18" s="408" t="s">
        <v>258</v>
      </c>
      <c r="E18" s="408" t="s">
        <v>258</v>
      </c>
      <c r="F18" s="408" t="s">
        <v>319</v>
      </c>
    </row>
    <row r="19" spans="1:6">
      <c r="A19" s="407" t="s">
        <v>200</v>
      </c>
      <c r="B19" s="407" t="s">
        <v>216</v>
      </c>
      <c r="C19" s="408" t="s">
        <v>258</v>
      </c>
      <c r="D19" s="408" t="s">
        <v>258</v>
      </c>
      <c r="E19" s="408" t="s">
        <v>258</v>
      </c>
      <c r="F19" s="408"/>
    </row>
    <row r="20" spans="1:6">
      <c r="A20" s="407" t="s">
        <v>201</v>
      </c>
      <c r="B20" s="407" t="s">
        <v>217</v>
      </c>
      <c r="C20" s="408" t="s">
        <v>258</v>
      </c>
      <c r="D20" s="408" t="s">
        <v>258</v>
      </c>
      <c r="E20" s="408" t="s">
        <v>258</v>
      </c>
      <c r="F20" s="408"/>
    </row>
    <row r="21" spans="1:6">
      <c r="A21" s="407" t="s">
        <v>202</v>
      </c>
      <c r="B21" s="407" t="s">
        <v>218</v>
      </c>
      <c r="C21" s="408" t="s">
        <v>258</v>
      </c>
      <c r="D21" s="408" t="s">
        <v>258</v>
      </c>
      <c r="E21" s="408" t="s">
        <v>258</v>
      </c>
      <c r="F21" s="408"/>
    </row>
    <row r="22" spans="1:6">
      <c r="A22" s="407" t="s">
        <v>203</v>
      </c>
      <c r="B22" s="407" t="s">
        <v>325</v>
      </c>
      <c r="C22" s="408" t="s">
        <v>258</v>
      </c>
      <c r="D22" s="408" t="s">
        <v>258</v>
      </c>
      <c r="E22" s="408" t="s">
        <v>322</v>
      </c>
      <c r="F22" s="408"/>
    </row>
    <row r="23" spans="1:6">
      <c r="A23" s="407" t="s">
        <v>204</v>
      </c>
      <c r="B23" s="407" t="s">
        <v>511</v>
      </c>
      <c r="C23" s="408" t="s">
        <v>258</v>
      </c>
      <c r="D23" s="408" t="s">
        <v>344</v>
      </c>
      <c r="E23" s="408" t="s">
        <v>258</v>
      </c>
      <c r="F23" s="408" t="s">
        <v>319</v>
      </c>
    </row>
    <row r="24" spans="1:6">
      <c r="A24" s="409" t="s">
        <v>459</v>
      </c>
      <c r="B24" s="407" t="s">
        <v>504</v>
      </c>
      <c r="C24" s="408" t="s">
        <v>258</v>
      </c>
      <c r="D24" s="408"/>
      <c r="E24" s="408" t="s">
        <v>326</v>
      </c>
      <c r="F24" s="408"/>
    </row>
    <row r="25" spans="1:6">
      <c r="A25" s="409" t="s">
        <v>460</v>
      </c>
      <c r="B25" s="407" t="s">
        <v>393</v>
      </c>
      <c r="C25" s="408" t="s">
        <v>258</v>
      </c>
      <c r="D25" s="408"/>
      <c r="E25" s="408" t="s">
        <v>326</v>
      </c>
      <c r="F25" s="408"/>
    </row>
    <row r="26" spans="1:6">
      <c r="A26" s="409" t="s">
        <v>461</v>
      </c>
      <c r="B26" s="407" t="s">
        <v>392</v>
      </c>
      <c r="C26" s="408" t="s">
        <v>258</v>
      </c>
      <c r="D26" s="408"/>
      <c r="E26" s="408" t="s">
        <v>326</v>
      </c>
      <c r="F26" s="408"/>
    </row>
    <row r="27" spans="1:6">
      <c r="A27" s="2529" t="s">
        <v>782</v>
      </c>
      <c r="B27" s="2529"/>
      <c r="C27" s="2529"/>
      <c r="D27" s="2529"/>
      <c r="E27" s="2529"/>
      <c r="F27" s="2529"/>
    </row>
    <row r="28" spans="1:6">
      <c r="A28" s="407" t="s">
        <v>327</v>
      </c>
      <c r="B28" s="407" t="s">
        <v>797</v>
      </c>
      <c r="C28" s="408" t="s">
        <v>258</v>
      </c>
      <c r="D28" s="408" t="s">
        <v>500</v>
      </c>
      <c r="E28" s="408" t="s">
        <v>258</v>
      </c>
      <c r="F28" s="408" t="s">
        <v>319</v>
      </c>
    </row>
    <row r="29" spans="1:6">
      <c r="A29" s="414" t="s">
        <v>793</v>
      </c>
      <c r="B29" s="414" t="s">
        <v>794</v>
      </c>
      <c r="C29" s="415" t="s">
        <v>258</v>
      </c>
      <c r="D29" s="416" t="s">
        <v>795</v>
      </c>
      <c r="E29" s="308" t="s">
        <v>258</v>
      </c>
      <c r="F29" s="416" t="s">
        <v>319</v>
      </c>
    </row>
    <row r="30" spans="1:6">
      <c r="A30" s="2532" t="s">
        <v>783</v>
      </c>
      <c r="B30" s="2533"/>
      <c r="C30" s="2533"/>
      <c r="D30" s="2533"/>
      <c r="E30" s="2533"/>
      <c r="F30" s="2534"/>
    </row>
    <row r="31" spans="1:6">
      <c r="A31" s="407" t="s">
        <v>207</v>
      </c>
      <c r="B31" s="407" t="s">
        <v>527</v>
      </c>
      <c r="C31" s="408" t="s">
        <v>258</v>
      </c>
      <c r="D31" s="408" t="s">
        <v>258</v>
      </c>
      <c r="E31" s="408" t="s">
        <v>258</v>
      </c>
      <c r="F31" s="408" t="s">
        <v>319</v>
      </c>
    </row>
    <row r="32" spans="1:6">
      <c r="A32" s="409" t="s">
        <v>502</v>
      </c>
      <c r="B32" s="407" t="s">
        <v>361</v>
      </c>
      <c r="C32" s="410"/>
      <c r="D32" s="410"/>
      <c r="E32" s="408" t="s">
        <v>497</v>
      </c>
      <c r="F32" s="410"/>
    </row>
    <row r="33" spans="1:6">
      <c r="A33" s="2529" t="s">
        <v>784</v>
      </c>
      <c r="B33" s="2529"/>
      <c r="C33" s="2529"/>
      <c r="D33" s="2529"/>
      <c r="E33" s="2529"/>
      <c r="F33" s="2529"/>
    </row>
    <row r="34" spans="1:6">
      <c r="A34" s="407" t="s">
        <v>328</v>
      </c>
      <c r="B34" s="407" t="s">
        <v>329</v>
      </c>
      <c r="C34" s="408"/>
      <c r="D34" s="408" t="s">
        <v>258</v>
      </c>
      <c r="E34" s="408" t="s">
        <v>258</v>
      </c>
      <c r="F34" s="408"/>
    </row>
    <row r="35" spans="1:6">
      <c r="A35" s="407" t="s">
        <v>330</v>
      </c>
      <c r="B35" s="407" t="s">
        <v>331</v>
      </c>
      <c r="C35" s="408"/>
      <c r="D35" s="408" t="s">
        <v>258</v>
      </c>
      <c r="E35" s="408" t="s">
        <v>258</v>
      </c>
      <c r="F35" s="408" t="s">
        <v>319</v>
      </c>
    </row>
    <row r="36" spans="1:6">
      <c r="A36" s="409" t="s">
        <v>462</v>
      </c>
      <c r="B36" s="407" t="s">
        <v>383</v>
      </c>
      <c r="C36" s="408"/>
      <c r="D36" s="408"/>
      <c r="E36" s="408" t="s">
        <v>258</v>
      </c>
      <c r="F36" s="408"/>
    </row>
    <row r="37" spans="1:6">
      <c r="A37" s="407" t="s">
        <v>846</v>
      </c>
      <c r="B37" s="407" t="s">
        <v>360</v>
      </c>
      <c r="C37" s="408"/>
      <c r="D37" s="408" t="s">
        <v>258</v>
      </c>
      <c r="E37" s="408" t="s">
        <v>258</v>
      </c>
      <c r="F37" s="410"/>
    </row>
    <row r="38" spans="1:6">
      <c r="A38" s="2529" t="s">
        <v>785</v>
      </c>
      <c r="B38" s="2529"/>
      <c r="C38" s="2529"/>
      <c r="D38" s="2529"/>
      <c r="E38" s="2529"/>
      <c r="F38" s="2529"/>
    </row>
    <row r="39" spans="1:6">
      <c r="A39" s="407" t="s">
        <v>209</v>
      </c>
      <c r="B39" s="407" t="s">
        <v>332</v>
      </c>
      <c r="C39" s="408" t="s">
        <v>258</v>
      </c>
      <c r="D39" s="408" t="s">
        <v>258</v>
      </c>
      <c r="E39" s="408" t="s">
        <v>258</v>
      </c>
      <c r="F39" s="408" t="s">
        <v>319</v>
      </c>
    </row>
    <row r="40" spans="1:6">
      <c r="A40" s="407" t="s">
        <v>208</v>
      </c>
      <c r="B40" s="407" t="s">
        <v>333</v>
      </c>
      <c r="C40" s="408" t="s">
        <v>258</v>
      </c>
      <c r="D40" s="408" t="s">
        <v>796</v>
      </c>
      <c r="E40" s="408" t="s">
        <v>258</v>
      </c>
      <c r="F40" s="408" t="s">
        <v>319</v>
      </c>
    </row>
    <row r="41" spans="1:6">
      <c r="A41" s="409" t="s">
        <v>512</v>
      </c>
      <c r="B41" s="407" t="s">
        <v>390</v>
      </c>
      <c r="C41" s="408"/>
      <c r="D41" s="408"/>
      <c r="E41" s="408" t="s">
        <v>258</v>
      </c>
      <c r="F41" s="408"/>
    </row>
    <row r="42" spans="1:6">
      <c r="A42" s="407" t="s">
        <v>498</v>
      </c>
      <c r="B42" s="407" t="s">
        <v>358</v>
      </c>
      <c r="C42" s="408"/>
      <c r="D42" s="408" t="s">
        <v>258</v>
      </c>
      <c r="E42" s="408" t="s">
        <v>258</v>
      </c>
      <c r="F42" s="410"/>
    </row>
    <row r="43" spans="1:6">
      <c r="A43" s="405" t="s">
        <v>357</v>
      </c>
      <c r="B43" s="405" t="s">
        <v>359</v>
      </c>
      <c r="C43" s="408"/>
      <c r="D43" s="408" t="s">
        <v>258</v>
      </c>
      <c r="E43" s="408" t="s">
        <v>258</v>
      </c>
      <c r="F43" s="408"/>
    </row>
    <row r="44" spans="1:6">
      <c r="A44" s="409" t="s">
        <v>505</v>
      </c>
      <c r="B44" s="407" t="s">
        <v>508</v>
      </c>
      <c r="C44" s="408" t="s">
        <v>258</v>
      </c>
      <c r="D44" s="408"/>
      <c r="E44" s="408" t="s">
        <v>326</v>
      </c>
      <c r="F44" s="408"/>
    </row>
    <row r="45" spans="1:6">
      <c r="A45" s="2535" t="s">
        <v>224</v>
      </c>
      <c r="B45" s="2536"/>
      <c r="C45" s="2536"/>
      <c r="D45" s="2536"/>
      <c r="E45" s="2536"/>
      <c r="F45" s="2537"/>
    </row>
    <row r="46" spans="1:6">
      <c r="A46" s="407" t="s">
        <v>334</v>
      </c>
      <c r="B46" s="407" t="s">
        <v>345</v>
      </c>
      <c r="C46" s="408" t="s">
        <v>258</v>
      </c>
      <c r="D46" s="408" t="s">
        <v>258</v>
      </c>
      <c r="E46" s="408" t="s">
        <v>258</v>
      </c>
      <c r="F46" s="408" t="s">
        <v>319</v>
      </c>
    </row>
    <row r="47" spans="1:6">
      <c r="A47" s="411" t="s">
        <v>501</v>
      </c>
      <c r="B47" s="407" t="s">
        <v>391</v>
      </c>
      <c r="C47" s="408"/>
      <c r="D47" s="408"/>
      <c r="E47" s="408" t="s">
        <v>258</v>
      </c>
      <c r="F47" s="408"/>
    </row>
    <row r="48" spans="1:6">
      <c r="A48" s="407" t="s">
        <v>205</v>
      </c>
      <c r="B48" s="407" t="s">
        <v>289</v>
      </c>
      <c r="C48" s="408" t="s">
        <v>258</v>
      </c>
      <c r="D48" s="408" t="s">
        <v>258</v>
      </c>
      <c r="E48" s="408" t="s">
        <v>258</v>
      </c>
      <c r="F48" s="410"/>
    </row>
    <row r="49" spans="1:6">
      <c r="A49" s="2529" t="s">
        <v>786</v>
      </c>
      <c r="B49" s="2529"/>
      <c r="C49" s="2529"/>
      <c r="D49" s="2529"/>
      <c r="E49" s="2529"/>
      <c r="F49" s="2529"/>
    </row>
    <row r="50" spans="1:6">
      <c r="A50" s="404" t="s">
        <v>503</v>
      </c>
      <c r="B50" s="405" t="s">
        <v>384</v>
      </c>
      <c r="C50" s="406"/>
      <c r="D50" s="406"/>
      <c r="E50" s="406" t="s">
        <v>258</v>
      </c>
      <c r="F50" s="406"/>
    </row>
    <row r="51" spans="1:6">
      <c r="A51" s="404" t="s">
        <v>509</v>
      </c>
      <c r="B51" s="405" t="s">
        <v>506</v>
      </c>
      <c r="C51" s="406"/>
      <c r="D51" s="406"/>
      <c r="E51" s="406" t="s">
        <v>258</v>
      </c>
      <c r="F51" s="406"/>
    </row>
    <row r="52" spans="1:6">
      <c r="A52" s="404" t="s">
        <v>507</v>
      </c>
      <c r="B52" s="405" t="s">
        <v>385</v>
      </c>
      <c r="C52" s="406"/>
      <c r="D52" s="406"/>
      <c r="E52" s="406" t="s">
        <v>258</v>
      </c>
      <c r="F52" s="406"/>
    </row>
    <row r="53" spans="1:6">
      <c r="A53" s="407" t="s">
        <v>206</v>
      </c>
      <c r="B53" s="407" t="s">
        <v>225</v>
      </c>
      <c r="C53" s="408" t="s">
        <v>258</v>
      </c>
      <c r="D53" s="408" t="s">
        <v>258</v>
      </c>
      <c r="E53" s="408" t="s">
        <v>258</v>
      </c>
      <c r="F53" s="408" t="s">
        <v>319</v>
      </c>
    </row>
    <row r="54" spans="1:6">
      <c r="A54" s="2529" t="s">
        <v>787</v>
      </c>
      <c r="B54" s="2529"/>
      <c r="C54" s="2529"/>
      <c r="D54" s="2529"/>
      <c r="E54" s="2529"/>
      <c r="F54" s="2529"/>
    </row>
    <row r="55" spans="1:6">
      <c r="A55" s="407" t="s">
        <v>198</v>
      </c>
      <c r="B55" s="407" t="s">
        <v>335</v>
      </c>
      <c r="C55" s="408"/>
      <c r="D55" s="408" t="s">
        <v>258</v>
      </c>
      <c r="E55" s="408" t="s">
        <v>258</v>
      </c>
      <c r="F55" s="408" t="s">
        <v>319</v>
      </c>
    </row>
    <row r="56" spans="1:6">
      <c r="A56" s="407" t="s">
        <v>199</v>
      </c>
      <c r="B56" s="407" t="s">
        <v>336</v>
      </c>
      <c r="C56" s="408"/>
      <c r="D56" s="408" t="s">
        <v>258</v>
      </c>
      <c r="E56" s="408" t="s">
        <v>258</v>
      </c>
      <c r="F56" s="408" t="s">
        <v>319</v>
      </c>
    </row>
    <row r="57" spans="1:6">
      <c r="A57" s="2529" t="s">
        <v>800</v>
      </c>
      <c r="B57" s="2529"/>
      <c r="C57" s="2529"/>
      <c r="D57" s="2529"/>
      <c r="E57" s="2529"/>
      <c r="F57" s="2529"/>
    </row>
    <row r="58" spans="1:6">
      <c r="A58" s="407"/>
      <c r="B58" s="407" t="s">
        <v>799</v>
      </c>
      <c r="C58" s="408"/>
      <c r="D58" s="408"/>
      <c r="E58" s="408"/>
      <c r="F58" s="408"/>
    </row>
  </sheetData>
  <mergeCells count="16">
    <mergeCell ref="A54:F54"/>
    <mergeCell ref="A57:F57"/>
    <mergeCell ref="B1:B2"/>
    <mergeCell ref="A27:F27"/>
    <mergeCell ref="A30:F30"/>
    <mergeCell ref="A33:F33"/>
    <mergeCell ref="A38:F38"/>
    <mergeCell ref="A45:F45"/>
    <mergeCell ref="A49:F49"/>
    <mergeCell ref="C1:E1"/>
    <mergeCell ref="F1:F2"/>
    <mergeCell ref="A3:F3"/>
    <mergeCell ref="A8:F8"/>
    <mergeCell ref="A11:F11"/>
    <mergeCell ref="A15:F15"/>
    <mergeCell ref="A17:F17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3" tint="0.59999389629810485"/>
  </sheetPr>
  <dimension ref="A1:F51"/>
  <sheetViews>
    <sheetView topLeftCell="B7" workbookViewId="0">
      <selection activeCell="C22" sqref="C22"/>
    </sheetView>
  </sheetViews>
  <sheetFormatPr defaultColWidth="49.6328125" defaultRowHeight="14"/>
  <cols>
    <col min="3" max="3" width="22.453125" bestFit="1" customWidth="1"/>
    <col min="4" max="4" width="45" bestFit="1" customWidth="1"/>
    <col min="5" max="5" width="24.6328125" bestFit="1" customWidth="1"/>
    <col min="6" max="6" width="21.36328125" bestFit="1" customWidth="1"/>
  </cols>
  <sheetData>
    <row r="1" spans="1:6" ht="15" thickBot="1">
      <c r="A1" s="2555" t="s">
        <v>802</v>
      </c>
      <c r="B1" s="2556"/>
      <c r="D1" s="2548" t="s">
        <v>828</v>
      </c>
      <c r="E1" s="2548"/>
      <c r="F1" s="2548"/>
    </row>
    <row r="2" spans="1:6" ht="15" thickBot="1">
      <c r="A2" s="417" t="s">
        <v>803</v>
      </c>
      <c r="B2" s="418" t="s">
        <v>338</v>
      </c>
      <c r="D2" s="302" t="s">
        <v>362</v>
      </c>
      <c r="E2" s="303" t="s">
        <v>837</v>
      </c>
      <c r="F2" s="303" t="s">
        <v>832</v>
      </c>
    </row>
    <row r="3" spans="1:6" ht="15" thickBot="1">
      <c r="A3" s="419" t="s">
        <v>350</v>
      </c>
      <c r="B3" s="420" t="s">
        <v>176</v>
      </c>
      <c r="D3" s="2545" t="s">
        <v>363</v>
      </c>
      <c r="E3" s="2545"/>
      <c r="F3" s="2545"/>
    </row>
    <row r="4" spans="1:6" ht="15" thickBot="1">
      <c r="A4" s="419" t="s">
        <v>354</v>
      </c>
      <c r="B4" s="420" t="s">
        <v>63</v>
      </c>
      <c r="D4" s="412" t="s">
        <v>830</v>
      </c>
      <c r="E4" s="413" t="s">
        <v>829</v>
      </c>
      <c r="F4" s="305"/>
    </row>
    <row r="5" spans="1:6" ht="15" thickBot="1">
      <c r="A5" s="419" t="s">
        <v>804</v>
      </c>
      <c r="B5" s="421" t="s">
        <v>352</v>
      </c>
      <c r="D5" s="412" t="s">
        <v>365</v>
      </c>
      <c r="E5" s="413" t="s">
        <v>364</v>
      </c>
      <c r="F5" s="306" t="s">
        <v>841</v>
      </c>
    </row>
    <row r="6" spans="1:6" ht="15" thickBot="1">
      <c r="A6" s="419" t="s">
        <v>805</v>
      </c>
      <c r="B6" s="422" t="s">
        <v>806</v>
      </c>
      <c r="D6" s="412" t="s">
        <v>366</v>
      </c>
      <c r="E6" s="413"/>
      <c r="F6" s="306" t="s">
        <v>842</v>
      </c>
    </row>
    <row r="7" spans="1:6" ht="15" thickBot="1">
      <c r="A7" s="419" t="s">
        <v>807</v>
      </c>
      <c r="B7" s="91"/>
      <c r="D7" s="412" t="s">
        <v>372</v>
      </c>
      <c r="E7" s="413"/>
      <c r="F7" s="306" t="s">
        <v>842</v>
      </c>
    </row>
    <row r="8" spans="1:6" ht="15" thickBot="1">
      <c r="A8" s="423" t="s">
        <v>808</v>
      </c>
      <c r="B8" s="91"/>
      <c r="D8" s="412" t="s">
        <v>247</v>
      </c>
      <c r="E8" s="413" t="s">
        <v>364</v>
      </c>
      <c r="F8" s="306" t="s">
        <v>841</v>
      </c>
    </row>
    <row r="9" spans="1:6" ht="15" thickBot="1">
      <c r="A9" s="424" t="s">
        <v>809</v>
      </c>
      <c r="B9" s="91"/>
      <c r="D9" s="2546" t="s">
        <v>367</v>
      </c>
      <c r="E9" s="2547" t="s">
        <v>836</v>
      </c>
      <c r="F9" s="306" t="s">
        <v>841</v>
      </c>
    </row>
    <row r="10" spans="1:6" ht="14.5">
      <c r="A10" s="423" t="s">
        <v>810</v>
      </c>
      <c r="B10" s="91"/>
      <c r="D10" s="2546"/>
      <c r="E10" s="2547"/>
      <c r="F10" s="306" t="s">
        <v>368</v>
      </c>
    </row>
    <row r="11" spans="1:6" ht="14.5">
      <c r="A11" s="2557" t="s">
        <v>811</v>
      </c>
      <c r="B11" s="2557"/>
      <c r="D11" s="412" t="s">
        <v>369</v>
      </c>
      <c r="E11" s="413" t="s">
        <v>364</v>
      </c>
      <c r="F11" s="306" t="s">
        <v>841</v>
      </c>
    </row>
    <row r="12" spans="1:6" ht="15" thickBot="1">
      <c r="A12" s="426" t="s">
        <v>337</v>
      </c>
      <c r="B12" s="427" t="s">
        <v>338</v>
      </c>
      <c r="D12" s="2545" t="s">
        <v>835</v>
      </c>
      <c r="E12" s="2545"/>
      <c r="F12" s="2545"/>
    </row>
    <row r="13" spans="1:6" ht="15" thickBot="1">
      <c r="A13" s="425" t="s">
        <v>377</v>
      </c>
      <c r="B13" s="420" t="s">
        <v>176</v>
      </c>
      <c r="D13" s="412" t="s">
        <v>370</v>
      </c>
      <c r="E13" s="413"/>
      <c r="F13" s="413" t="s">
        <v>834</v>
      </c>
    </row>
    <row r="14" spans="1:6" ht="15" thickBot="1">
      <c r="A14" s="419" t="s">
        <v>379</v>
      </c>
      <c r="B14" s="428" t="s">
        <v>163</v>
      </c>
      <c r="D14" s="412" t="s">
        <v>827</v>
      </c>
      <c r="E14" s="413"/>
      <c r="F14" s="413" t="s">
        <v>843</v>
      </c>
    </row>
    <row r="15" spans="1:6" ht="15" thickBot="1">
      <c r="A15" s="91"/>
      <c r="B15" s="419" t="s">
        <v>339</v>
      </c>
      <c r="D15" s="412" t="s">
        <v>833</v>
      </c>
      <c r="E15" s="413" t="s">
        <v>838</v>
      </c>
      <c r="F15" s="413"/>
    </row>
    <row r="16" spans="1:6" ht="15" thickBot="1">
      <c r="A16" s="91"/>
      <c r="B16" s="429" t="s">
        <v>378</v>
      </c>
      <c r="D16" s="433" t="s">
        <v>839</v>
      </c>
      <c r="F16" s="434" t="s">
        <v>840</v>
      </c>
    </row>
    <row r="17" spans="1:6" ht="15" thickBot="1">
      <c r="A17" s="91"/>
      <c r="B17" s="419" t="s">
        <v>63</v>
      </c>
      <c r="D17" s="2549" t="s">
        <v>826</v>
      </c>
      <c r="E17" s="2550"/>
      <c r="F17" s="2551"/>
    </row>
    <row r="18" spans="1:6" ht="15" thickBot="1">
      <c r="A18" s="2543" t="s">
        <v>812</v>
      </c>
      <c r="B18" s="2558"/>
      <c r="D18" s="412" t="s">
        <v>244</v>
      </c>
      <c r="E18" s="413" t="s">
        <v>364</v>
      </c>
      <c r="F18" s="413" t="s">
        <v>371</v>
      </c>
    </row>
    <row r="19" spans="1:6" ht="15" thickBot="1">
      <c r="A19" s="425" t="s">
        <v>351</v>
      </c>
      <c r="B19" s="430" t="s">
        <v>813</v>
      </c>
      <c r="D19" s="412" t="s">
        <v>62</v>
      </c>
      <c r="E19" s="413" t="s">
        <v>364</v>
      </c>
      <c r="F19" s="413" t="s">
        <v>371</v>
      </c>
    </row>
    <row r="20" spans="1:6" ht="15" thickBot="1">
      <c r="A20" s="425" t="s">
        <v>552</v>
      </c>
      <c r="B20" s="428" t="s">
        <v>814</v>
      </c>
      <c r="D20" s="2552" t="s">
        <v>373</v>
      </c>
      <c r="E20" s="2553"/>
      <c r="F20" s="2554"/>
    </row>
    <row r="21" spans="1:6" ht="15" thickBot="1">
      <c r="A21" s="425" t="s">
        <v>815</v>
      </c>
      <c r="B21" s="91"/>
      <c r="D21" s="307" t="s">
        <v>374</v>
      </c>
      <c r="E21" s="220"/>
      <c r="F21" s="308" t="s">
        <v>831</v>
      </c>
    </row>
    <row r="22" spans="1:6" ht="15" thickBot="1">
      <c r="A22" s="2541" t="s">
        <v>816</v>
      </c>
      <c r="B22" s="2542"/>
      <c r="D22" s="307" t="s">
        <v>375</v>
      </c>
      <c r="E22" s="220"/>
      <c r="F22" s="308" t="s">
        <v>831</v>
      </c>
    </row>
    <row r="23" spans="1:6" ht="15" thickBot="1">
      <c r="A23" s="425" t="s">
        <v>817</v>
      </c>
      <c r="B23" s="428" t="s">
        <v>818</v>
      </c>
      <c r="D23" s="307" t="s">
        <v>376</v>
      </c>
      <c r="E23" s="220"/>
      <c r="F23" s="308" t="s">
        <v>831</v>
      </c>
    </row>
    <row r="24" spans="1:6" ht="15" thickBot="1">
      <c r="A24" s="425" t="s">
        <v>819</v>
      </c>
      <c r="B24" s="428" t="s">
        <v>820</v>
      </c>
    </row>
    <row r="25" spans="1:6" ht="15" thickBot="1">
      <c r="A25" s="2543" t="s">
        <v>343</v>
      </c>
      <c r="B25" s="2544"/>
    </row>
    <row r="26" spans="1:6" ht="15" thickBot="1">
      <c r="A26" s="426" t="s">
        <v>337</v>
      </c>
      <c r="B26" s="427" t="s">
        <v>338</v>
      </c>
    </row>
    <row r="27" spans="1:6" ht="15" thickBot="1">
      <c r="A27" s="419" t="s">
        <v>340</v>
      </c>
      <c r="B27" s="420" t="s">
        <v>821</v>
      </c>
    </row>
    <row r="28" spans="1:6" ht="15" thickBot="1">
      <c r="A28" s="419" t="s">
        <v>354</v>
      </c>
      <c r="B28" s="420" t="s">
        <v>822</v>
      </c>
    </row>
    <row r="29" spans="1:6" ht="29.5" thickBot="1">
      <c r="A29" s="419" t="s">
        <v>549</v>
      </c>
      <c r="B29" s="420" t="s">
        <v>823</v>
      </c>
    </row>
    <row r="30" spans="1:6" ht="29.5" thickBot="1">
      <c r="A30" s="419" t="s">
        <v>550</v>
      </c>
      <c r="B30" s="420" t="s">
        <v>353</v>
      </c>
    </row>
    <row r="31" spans="1:6" ht="29.5" thickBot="1">
      <c r="A31" s="419" t="s">
        <v>551</v>
      </c>
      <c r="B31" s="420" t="s">
        <v>824</v>
      </c>
    </row>
    <row r="32" spans="1:6" ht="15" thickBot="1">
      <c r="A32" s="431" t="s">
        <v>825</v>
      </c>
      <c r="B32" s="432"/>
    </row>
    <row r="33" spans="1:2" ht="15" thickBot="1">
      <c r="A33" s="431" t="s">
        <v>355</v>
      </c>
      <c r="B33" s="91"/>
    </row>
    <row r="50" ht="16.75" customHeight="1"/>
    <row r="51" ht="16.75" customHeight="1"/>
  </sheetData>
  <mergeCells count="12">
    <mergeCell ref="D1:F1"/>
    <mergeCell ref="D17:F17"/>
    <mergeCell ref="D20:F20"/>
    <mergeCell ref="A1:B1"/>
    <mergeCell ref="A11:B11"/>
    <mergeCell ref="A18:B18"/>
    <mergeCell ref="A22:B22"/>
    <mergeCell ref="A25:B25"/>
    <mergeCell ref="D3:F3"/>
    <mergeCell ref="D9:D10"/>
    <mergeCell ref="E9:E10"/>
    <mergeCell ref="D12:F12"/>
  </mergeCells>
  <pageMargins left="0.7" right="0.7" top="0.75" bottom="0.75" header="0.3" footer="0.3"/>
  <pageSetup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</sheetPr>
  <dimension ref="A1:W33"/>
  <sheetViews>
    <sheetView topLeftCell="B1" workbookViewId="0">
      <selection activeCell="E30" sqref="E30"/>
    </sheetView>
  </sheetViews>
  <sheetFormatPr defaultColWidth="8.90625" defaultRowHeight="13"/>
  <cols>
    <col min="1" max="1" width="24.90625" style="304" customWidth="1"/>
    <col min="2" max="2" width="26.54296875" style="304" customWidth="1"/>
    <col min="3" max="3" width="14.54296875" style="304" customWidth="1"/>
    <col min="4" max="4" width="14.90625" style="304" customWidth="1"/>
    <col min="5" max="5" width="30.08984375" style="304" customWidth="1"/>
    <col min="6" max="6" width="8.6328125" style="304" bestFit="1" customWidth="1"/>
    <col min="7" max="7" width="21.81640625" style="304" customWidth="1"/>
    <col min="8" max="8" width="17.1796875" style="304" bestFit="1" customWidth="1"/>
    <col min="9" max="9" width="9.453125" style="304" bestFit="1" customWidth="1"/>
    <col min="10" max="10" width="17.1796875" style="304" bestFit="1" customWidth="1"/>
    <col min="11" max="12" width="8.90625" style="304"/>
    <col min="13" max="13" width="19.90625" style="304" bestFit="1" customWidth="1"/>
    <col min="14" max="14" width="40.36328125" style="304" bestFit="1" customWidth="1"/>
    <col min="15" max="15" width="21.08984375" style="304" bestFit="1" customWidth="1"/>
    <col min="16" max="16" width="8.81640625" style="304" bestFit="1" customWidth="1"/>
    <col min="17" max="17" width="13.90625" style="304" bestFit="1" customWidth="1"/>
    <col min="18" max="18" width="8" style="304" bestFit="1" customWidth="1"/>
    <col min="19" max="19" width="14" style="304" bestFit="1" customWidth="1"/>
    <col min="20" max="20" width="14.81640625" style="304" bestFit="1" customWidth="1"/>
    <col min="21" max="21" width="11.36328125" style="304" customWidth="1"/>
    <col min="22" max="22" width="18.90625" style="304" bestFit="1" customWidth="1"/>
    <col min="23" max="23" width="7.54296875" style="304" bestFit="1" customWidth="1"/>
    <col min="24" max="16384" width="8.90625" style="304"/>
  </cols>
  <sheetData>
    <row r="1" spans="1:23" ht="39">
      <c r="A1" s="309" t="s">
        <v>421</v>
      </c>
      <c r="B1" s="310" t="s">
        <v>422</v>
      </c>
      <c r="C1" s="310" t="s">
        <v>423</v>
      </c>
      <c r="D1" s="310" t="s">
        <v>693</v>
      </c>
      <c r="E1" s="310" t="s">
        <v>424</v>
      </c>
      <c r="G1" s="311" t="s">
        <v>421</v>
      </c>
      <c r="H1" s="311" t="s">
        <v>437</v>
      </c>
      <c r="I1" s="312" t="s">
        <v>438</v>
      </c>
      <c r="J1" s="311" t="s">
        <v>439</v>
      </c>
      <c r="M1" s="313" t="s">
        <v>441</v>
      </c>
      <c r="N1" s="313" t="s">
        <v>422</v>
      </c>
      <c r="O1" s="313" t="s">
        <v>442</v>
      </c>
    </row>
    <row r="2" spans="1:23" ht="26">
      <c r="A2" s="314" t="s">
        <v>63</v>
      </c>
      <c r="B2" s="314" t="s">
        <v>565</v>
      </c>
      <c r="C2" s="315" t="s">
        <v>425</v>
      </c>
      <c r="D2" s="316" t="s">
        <v>428</v>
      </c>
      <c r="E2" s="314" t="s">
        <v>426</v>
      </c>
      <c r="G2" s="317" t="s">
        <v>27</v>
      </c>
      <c r="H2" s="318">
        <v>106</v>
      </c>
      <c r="I2" s="318">
        <v>1</v>
      </c>
      <c r="J2" s="319" t="s">
        <v>428</v>
      </c>
      <c r="M2" s="320" t="s">
        <v>443</v>
      </c>
      <c r="N2" s="314" t="s">
        <v>565</v>
      </c>
      <c r="O2" s="320" t="s">
        <v>444</v>
      </c>
    </row>
    <row r="3" spans="1:23" ht="26">
      <c r="A3" s="314" t="s">
        <v>427</v>
      </c>
      <c r="B3" s="314" t="s">
        <v>565</v>
      </c>
      <c r="C3" s="315" t="s">
        <v>428</v>
      </c>
      <c r="D3" s="316" t="s">
        <v>428</v>
      </c>
      <c r="E3" s="314" t="s">
        <v>426</v>
      </c>
      <c r="G3" s="317" t="s">
        <v>380</v>
      </c>
      <c r="H3" s="318">
        <v>103</v>
      </c>
      <c r="I3" s="318">
        <v>1</v>
      </c>
      <c r="J3" s="319" t="s">
        <v>428</v>
      </c>
      <c r="M3" s="317" t="s">
        <v>427</v>
      </c>
      <c r="N3" s="314" t="s">
        <v>565</v>
      </c>
      <c r="O3" s="320" t="s">
        <v>444</v>
      </c>
    </row>
    <row r="4" spans="1:23" ht="26">
      <c r="A4" s="314" t="s">
        <v>177</v>
      </c>
      <c r="B4" s="314" t="s">
        <v>566</v>
      </c>
      <c r="C4" s="315" t="s">
        <v>425</v>
      </c>
      <c r="D4" s="316" t="s">
        <v>428</v>
      </c>
      <c r="E4" s="314" t="s">
        <v>426</v>
      </c>
      <c r="G4" s="317" t="s">
        <v>28</v>
      </c>
      <c r="H4" s="318">
        <v>102</v>
      </c>
      <c r="I4" s="318">
        <v>1</v>
      </c>
      <c r="J4" s="319" t="s">
        <v>428</v>
      </c>
      <c r="M4" s="320" t="s">
        <v>177</v>
      </c>
      <c r="N4" s="314" t="s">
        <v>566</v>
      </c>
      <c r="O4" s="320" t="s">
        <v>447</v>
      </c>
    </row>
    <row r="5" spans="1:23">
      <c r="A5" s="314" t="s">
        <v>429</v>
      </c>
      <c r="B5" s="314" t="s">
        <v>567</v>
      </c>
      <c r="C5" s="315" t="s">
        <v>428</v>
      </c>
      <c r="D5" s="315" t="s">
        <v>425</v>
      </c>
      <c r="E5" s="314" t="s">
        <v>430</v>
      </c>
      <c r="G5" s="317" t="s">
        <v>694</v>
      </c>
      <c r="H5" s="318">
        <v>98</v>
      </c>
      <c r="I5" s="318">
        <v>1</v>
      </c>
      <c r="J5" s="319" t="s">
        <v>428</v>
      </c>
      <c r="M5" s="320" t="s">
        <v>445</v>
      </c>
      <c r="N5" s="314" t="s">
        <v>567</v>
      </c>
      <c r="O5" s="320" t="s">
        <v>444</v>
      </c>
    </row>
    <row r="6" spans="1:23">
      <c r="A6" s="314" t="s">
        <v>263</v>
      </c>
      <c r="B6" s="314" t="s">
        <v>568</v>
      </c>
      <c r="C6" s="321" t="s">
        <v>428</v>
      </c>
      <c r="D6" s="321" t="s">
        <v>428</v>
      </c>
      <c r="E6" s="322" t="s">
        <v>431</v>
      </c>
      <c r="G6" s="317" t="s">
        <v>463</v>
      </c>
      <c r="H6" s="318">
        <v>93</v>
      </c>
      <c r="I6" s="318">
        <v>1</v>
      </c>
      <c r="J6" s="319" t="s">
        <v>428</v>
      </c>
      <c r="M6" s="320" t="s">
        <v>339</v>
      </c>
      <c r="N6" s="314" t="s">
        <v>568</v>
      </c>
      <c r="O6" s="320" t="s">
        <v>446</v>
      </c>
    </row>
    <row r="7" spans="1:23" ht="26">
      <c r="A7" s="314" t="s">
        <v>432</v>
      </c>
      <c r="B7" s="323" t="s">
        <v>433</v>
      </c>
      <c r="C7" s="324" t="s">
        <v>428</v>
      </c>
      <c r="D7" s="324"/>
      <c r="E7" s="317" t="s">
        <v>434</v>
      </c>
      <c r="G7" s="2559" t="s">
        <v>440</v>
      </c>
      <c r="H7" s="2559"/>
      <c r="I7" s="2559"/>
      <c r="J7" s="2559"/>
      <c r="M7" s="317" t="s">
        <v>432</v>
      </c>
      <c r="N7" s="323" t="s">
        <v>433</v>
      </c>
      <c r="O7" s="320" t="s">
        <v>448</v>
      </c>
    </row>
    <row r="8" spans="1:23">
      <c r="A8" s="314" t="s">
        <v>695</v>
      </c>
      <c r="B8" s="323" t="s">
        <v>435</v>
      </c>
      <c r="C8" s="324" t="s">
        <v>428</v>
      </c>
      <c r="D8" s="324"/>
      <c r="E8" s="317" t="s">
        <v>436</v>
      </c>
      <c r="M8" s="317" t="s">
        <v>695</v>
      </c>
      <c r="N8" s="323" t="s">
        <v>435</v>
      </c>
      <c r="O8" s="320" t="s">
        <v>449</v>
      </c>
    </row>
    <row r="12" spans="1:23">
      <c r="A12" s="325" t="s">
        <v>420</v>
      </c>
    </row>
    <row r="13" spans="1:23">
      <c r="M13" s="2560" t="s">
        <v>599</v>
      </c>
      <c r="N13" s="2560"/>
      <c r="O13" s="2560"/>
      <c r="P13" s="2560"/>
      <c r="Q13" s="2560" t="s">
        <v>600</v>
      </c>
      <c r="R13" s="2560"/>
      <c r="S13" s="2560"/>
    </row>
    <row r="14" spans="1:23">
      <c r="M14" s="313" t="s">
        <v>441</v>
      </c>
      <c r="N14" s="313" t="s">
        <v>422</v>
      </c>
      <c r="O14" s="313" t="s">
        <v>570</v>
      </c>
      <c r="P14" s="313" t="s">
        <v>598</v>
      </c>
      <c r="Q14" s="313" t="s">
        <v>422</v>
      </c>
      <c r="R14" s="313" t="s">
        <v>603</v>
      </c>
      <c r="S14" s="289" t="s">
        <v>5</v>
      </c>
      <c r="T14" s="313" t="s">
        <v>611</v>
      </c>
      <c r="V14" s="326" t="s">
        <v>612</v>
      </c>
      <c r="W14" s="326"/>
    </row>
    <row r="15" spans="1:23">
      <c r="M15" s="320" t="s">
        <v>443</v>
      </c>
      <c r="N15" s="314" t="s">
        <v>565</v>
      </c>
      <c r="O15" s="327" t="s">
        <v>447</v>
      </c>
      <c r="P15" s="328">
        <v>8</v>
      </c>
      <c r="Q15" s="220" t="s">
        <v>601</v>
      </c>
      <c r="R15" s="223">
        <v>0.01</v>
      </c>
      <c r="S15" s="220"/>
      <c r="T15" s="329" t="s">
        <v>27</v>
      </c>
      <c r="V15" s="326" t="s">
        <v>8</v>
      </c>
      <c r="W15" s="326" t="s">
        <v>478</v>
      </c>
    </row>
    <row r="16" spans="1:23" ht="26">
      <c r="A16" s="309" t="s">
        <v>451</v>
      </c>
      <c r="B16" s="309" t="s">
        <v>428</v>
      </c>
      <c r="C16" s="309" t="s">
        <v>425</v>
      </c>
      <c r="D16" s="309"/>
      <c r="E16" s="310" t="s">
        <v>452</v>
      </c>
      <c r="M16" s="317" t="s">
        <v>427</v>
      </c>
      <c r="N16" s="314" t="s">
        <v>565</v>
      </c>
      <c r="O16" s="327" t="s">
        <v>447</v>
      </c>
      <c r="P16" s="328">
        <v>8</v>
      </c>
      <c r="Q16" s="220"/>
      <c r="R16" s="220"/>
      <c r="S16" s="220"/>
      <c r="T16" s="220"/>
      <c r="V16" s="326" t="s">
        <v>263</v>
      </c>
      <c r="W16" s="326" t="s">
        <v>614</v>
      </c>
    </row>
    <row r="17" spans="1:23" ht="26">
      <c r="A17" s="314" t="s">
        <v>453</v>
      </c>
      <c r="B17" s="315"/>
      <c r="C17" s="330"/>
      <c r="D17" s="330"/>
      <c r="E17" s="330"/>
      <c r="M17" s="320" t="s">
        <v>177</v>
      </c>
      <c r="N17" s="314" t="s">
        <v>566</v>
      </c>
      <c r="O17" s="327" t="s">
        <v>569</v>
      </c>
      <c r="P17" s="328">
        <v>42</v>
      </c>
      <c r="Q17" s="220" t="s">
        <v>602</v>
      </c>
      <c r="R17" s="222">
        <v>0.1</v>
      </c>
      <c r="S17" s="220" t="s">
        <v>606</v>
      </c>
      <c r="T17" s="329" t="s">
        <v>28</v>
      </c>
      <c r="V17" s="326" t="s">
        <v>615</v>
      </c>
      <c r="W17" s="326" t="s">
        <v>616</v>
      </c>
    </row>
    <row r="18" spans="1:23" ht="26">
      <c r="A18" s="314" t="s">
        <v>454</v>
      </c>
      <c r="B18" s="315"/>
      <c r="C18" s="330"/>
      <c r="D18" s="330"/>
      <c r="E18" s="330"/>
      <c r="M18" s="320" t="s">
        <v>445</v>
      </c>
      <c r="N18" s="314" t="s">
        <v>567</v>
      </c>
      <c r="O18" s="327" t="s">
        <v>447</v>
      </c>
      <c r="P18" s="328">
        <v>8</v>
      </c>
      <c r="Q18" s="220" t="s">
        <v>602</v>
      </c>
      <c r="R18" s="223">
        <v>0.02</v>
      </c>
      <c r="S18" s="220" t="s">
        <v>607</v>
      </c>
      <c r="T18" s="329" t="s">
        <v>608</v>
      </c>
      <c r="V18" s="326" t="s">
        <v>617</v>
      </c>
      <c r="W18" s="326" t="s">
        <v>618</v>
      </c>
    </row>
    <row r="19" spans="1:23" ht="26">
      <c r="A19" s="314" t="s">
        <v>455</v>
      </c>
      <c r="B19" s="315"/>
      <c r="C19" s="330"/>
      <c r="D19" s="330"/>
      <c r="E19" s="330"/>
      <c r="M19" s="320" t="s">
        <v>339</v>
      </c>
      <c r="N19" s="314" t="s">
        <v>568</v>
      </c>
      <c r="O19" s="327" t="s">
        <v>571</v>
      </c>
      <c r="P19" s="328">
        <v>35</v>
      </c>
      <c r="Q19" s="220" t="s">
        <v>604</v>
      </c>
      <c r="R19" s="223">
        <v>0.03</v>
      </c>
      <c r="S19" s="220"/>
      <c r="T19" s="329" t="s">
        <v>463</v>
      </c>
      <c r="V19" s="326" t="s">
        <v>619</v>
      </c>
      <c r="W19" s="326" t="s">
        <v>616</v>
      </c>
    </row>
    <row r="20" spans="1:23" ht="26">
      <c r="A20" s="314" t="s">
        <v>456</v>
      </c>
      <c r="B20" s="315"/>
      <c r="C20" s="330"/>
      <c r="D20" s="330"/>
      <c r="E20" s="330"/>
      <c r="M20" s="317" t="s">
        <v>432</v>
      </c>
      <c r="N20" s="323" t="s">
        <v>433</v>
      </c>
      <c r="O20" s="320" t="s">
        <v>448</v>
      </c>
      <c r="P20" s="220"/>
      <c r="Q20" s="220" t="s">
        <v>605</v>
      </c>
      <c r="R20" s="220">
        <v>5</v>
      </c>
      <c r="S20" s="220"/>
      <c r="T20" s="220"/>
      <c r="V20" s="326" t="s">
        <v>620</v>
      </c>
      <c r="W20" s="326" t="s">
        <v>621</v>
      </c>
    </row>
    <row r="21" spans="1:23" ht="26">
      <c r="A21" s="314" t="s">
        <v>457</v>
      </c>
      <c r="B21" s="315"/>
      <c r="C21" s="330"/>
      <c r="D21" s="330"/>
      <c r="E21" s="330"/>
      <c r="M21" s="331" t="s">
        <v>695</v>
      </c>
      <c r="N21" s="332" t="s">
        <v>435</v>
      </c>
      <c r="O21" s="333" t="s">
        <v>449</v>
      </c>
      <c r="P21" s="334"/>
      <c r="Q21" s="334"/>
      <c r="R21" s="334"/>
      <c r="S21" s="334"/>
      <c r="T21" s="220"/>
      <c r="V21" s="326" t="s">
        <v>177</v>
      </c>
      <c r="W21" s="326" t="s">
        <v>618</v>
      </c>
    </row>
    <row r="22" spans="1:23" ht="26">
      <c r="A22" s="314" t="s">
        <v>450</v>
      </c>
      <c r="B22" s="315"/>
      <c r="C22" s="330"/>
      <c r="D22" s="330"/>
      <c r="E22" s="330"/>
      <c r="M22" s="306" t="s">
        <v>572</v>
      </c>
      <c r="N22" s="317" t="s">
        <v>602</v>
      </c>
      <c r="O22" s="220"/>
      <c r="P22" s="220">
        <v>5</v>
      </c>
      <c r="Q22" s="220" t="s">
        <v>602</v>
      </c>
      <c r="R22" s="222">
        <v>0.1</v>
      </c>
      <c r="S22" s="220"/>
      <c r="T22" s="329" t="s">
        <v>609</v>
      </c>
      <c r="V22" s="326" t="s">
        <v>116</v>
      </c>
      <c r="W22" s="326" t="s">
        <v>621</v>
      </c>
    </row>
    <row r="23" spans="1:23">
      <c r="M23" s="320" t="s">
        <v>612</v>
      </c>
      <c r="N23" s="220" t="s">
        <v>613</v>
      </c>
      <c r="O23" s="220"/>
      <c r="P23" s="220"/>
      <c r="Q23" s="220"/>
      <c r="R23" s="220"/>
      <c r="S23" s="220"/>
      <c r="T23" s="329" t="s">
        <v>610</v>
      </c>
      <c r="V23" s="326" t="s">
        <v>622</v>
      </c>
      <c r="W23" s="326" t="s">
        <v>618</v>
      </c>
    </row>
    <row r="26" spans="1:23">
      <c r="A26" s="335" t="s">
        <v>553</v>
      </c>
      <c r="B26" s="336"/>
      <c r="C26" s="336"/>
      <c r="D26" s="336"/>
      <c r="E26" s="336"/>
      <c r="F26" s="336"/>
      <c r="G26" s="336"/>
      <c r="H26" s="336"/>
    </row>
    <row r="27" spans="1:23" ht="39">
      <c r="A27" s="309" t="s">
        <v>421</v>
      </c>
      <c r="B27" s="310" t="s">
        <v>422</v>
      </c>
      <c r="C27" s="310" t="s">
        <v>423</v>
      </c>
      <c r="D27" s="310"/>
      <c r="E27" s="310" t="s">
        <v>693</v>
      </c>
      <c r="F27" s="310" t="s">
        <v>554</v>
      </c>
      <c r="G27" s="309" t="s">
        <v>555</v>
      </c>
      <c r="H27" s="336"/>
    </row>
    <row r="28" spans="1:23" ht="39">
      <c r="A28" s="314" t="s">
        <v>556</v>
      </c>
      <c r="B28" s="314" t="s">
        <v>557</v>
      </c>
      <c r="C28" s="316" t="s">
        <v>425</v>
      </c>
      <c r="D28" s="316"/>
      <c r="E28" s="316" t="s">
        <v>428</v>
      </c>
      <c r="F28" s="337"/>
      <c r="G28" s="338" t="s">
        <v>558</v>
      </c>
      <c r="H28" s="336"/>
    </row>
    <row r="29" spans="1:23" ht="39">
      <c r="A29" s="314" t="s">
        <v>427</v>
      </c>
      <c r="B29" s="314" t="s">
        <v>557</v>
      </c>
      <c r="C29" s="316" t="s">
        <v>428</v>
      </c>
      <c r="D29" s="316"/>
      <c r="E29" s="316" t="s">
        <v>428</v>
      </c>
      <c r="F29" s="337"/>
      <c r="G29" s="315" t="s">
        <v>559</v>
      </c>
      <c r="H29" s="336"/>
    </row>
    <row r="30" spans="1:23" ht="39">
      <c r="A30" s="338" t="s">
        <v>177</v>
      </c>
      <c r="B30" s="314" t="s">
        <v>560</v>
      </c>
      <c r="C30" s="316" t="s">
        <v>425</v>
      </c>
      <c r="D30" s="316"/>
      <c r="E30" s="316" t="s">
        <v>428</v>
      </c>
      <c r="F30" s="337"/>
      <c r="G30" s="338" t="s">
        <v>558</v>
      </c>
      <c r="H30" s="336"/>
    </row>
    <row r="31" spans="1:23" ht="26">
      <c r="A31" s="314" t="s">
        <v>429</v>
      </c>
      <c r="B31" s="314" t="s">
        <v>561</v>
      </c>
      <c r="C31" s="315" t="s">
        <v>428</v>
      </c>
      <c r="D31" s="315"/>
      <c r="E31" s="315" t="s">
        <v>425</v>
      </c>
      <c r="F31" s="339"/>
      <c r="G31" s="314" t="s">
        <v>562</v>
      </c>
      <c r="H31" s="336"/>
    </row>
    <row r="32" spans="1:23" ht="26">
      <c r="A32" s="314" t="s">
        <v>263</v>
      </c>
      <c r="B32" s="314" t="s">
        <v>563</v>
      </c>
      <c r="C32" s="315" t="s">
        <v>425</v>
      </c>
      <c r="D32" s="315"/>
      <c r="E32" s="315" t="s">
        <v>428</v>
      </c>
      <c r="F32" s="339"/>
      <c r="G32" s="314" t="s">
        <v>558</v>
      </c>
      <c r="H32" s="336"/>
    </row>
    <row r="33" spans="1:8">
      <c r="A33" s="325" t="s">
        <v>564</v>
      </c>
      <c r="B33" s="336"/>
      <c r="C33" s="336"/>
      <c r="D33" s="336"/>
      <c r="E33" s="336"/>
      <c r="F33" s="336"/>
      <c r="G33" s="336"/>
      <c r="H33" s="336"/>
    </row>
  </sheetData>
  <mergeCells count="3">
    <mergeCell ref="G7:J7"/>
    <mergeCell ref="M13:P13"/>
    <mergeCell ref="Q13:S13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79B41-4381-47E1-AC46-FD8EA3DF886B}">
  <sheetPr>
    <tabColor rgb="FF92D050"/>
  </sheetPr>
  <dimension ref="A1:N16"/>
  <sheetViews>
    <sheetView workbookViewId="0">
      <selection activeCell="J10" sqref="J10"/>
    </sheetView>
  </sheetViews>
  <sheetFormatPr defaultRowHeight="14"/>
  <cols>
    <col min="1" max="1" width="27.81640625" bestFit="1" customWidth="1"/>
    <col min="2" max="2" width="8.90625" bestFit="1" customWidth="1"/>
    <col min="3" max="3" width="9.90625" bestFit="1" customWidth="1"/>
    <col min="5" max="5" width="5.90625" bestFit="1" customWidth="1"/>
    <col min="6" max="6" width="6.81640625" bestFit="1" customWidth="1"/>
    <col min="7" max="7" width="7.08984375" bestFit="1" customWidth="1"/>
    <col min="8" max="8" width="7.36328125" bestFit="1" customWidth="1"/>
    <col min="9" max="9" width="7.08984375" customWidth="1"/>
  </cols>
  <sheetData>
    <row r="1" spans="1:14">
      <c r="K1" s="2418" t="s">
        <v>1475</v>
      </c>
      <c r="L1" s="2418"/>
      <c r="M1" s="2418" t="s">
        <v>1476</v>
      </c>
      <c r="N1" s="2418"/>
    </row>
    <row r="2" spans="1:14" ht="26">
      <c r="A2" s="31" t="s">
        <v>1471</v>
      </c>
      <c r="B2" s="2492" t="s">
        <v>1465</v>
      </c>
      <c r="C2" s="2492"/>
      <c r="D2" s="1343" t="s">
        <v>1466</v>
      </c>
      <c r="E2" s="1343" t="s">
        <v>1467</v>
      </c>
      <c r="F2" s="1343" t="s">
        <v>1472</v>
      </c>
      <c r="G2" s="1343" t="s">
        <v>1468</v>
      </c>
      <c r="H2" s="1343" t="s">
        <v>1469</v>
      </c>
      <c r="I2" s="1343" t="s">
        <v>1484</v>
      </c>
      <c r="J2" s="1344" t="s">
        <v>1489</v>
      </c>
      <c r="K2" s="31" t="s">
        <v>1477</v>
      </c>
      <c r="L2" s="31" t="s">
        <v>1467</v>
      </c>
      <c r="M2" s="31" t="s">
        <v>1477</v>
      </c>
      <c r="N2" s="31" t="s">
        <v>1467</v>
      </c>
    </row>
    <row r="3" spans="1:14">
      <c r="A3" s="1342" t="s">
        <v>1470</v>
      </c>
      <c r="B3" s="351">
        <v>43309</v>
      </c>
      <c r="C3" s="351">
        <v>43388</v>
      </c>
      <c r="D3" s="238">
        <v>11.6</v>
      </c>
      <c r="E3" s="238">
        <v>20.399999999999999</v>
      </c>
      <c r="F3" s="238">
        <v>920.4</v>
      </c>
      <c r="G3" s="238">
        <v>16</v>
      </c>
      <c r="H3" s="238">
        <v>19.899999999999999</v>
      </c>
      <c r="I3" s="238">
        <v>14.9</v>
      </c>
      <c r="J3" s="356"/>
      <c r="K3" s="236">
        <v>9</v>
      </c>
      <c r="L3" s="236">
        <v>13</v>
      </c>
      <c r="M3" s="236">
        <v>17</v>
      </c>
      <c r="N3" s="236">
        <v>21.2</v>
      </c>
    </row>
    <row r="4" spans="1:14">
      <c r="A4" s="1342" t="s">
        <v>1473</v>
      </c>
      <c r="B4" s="351">
        <v>43285</v>
      </c>
      <c r="C4" s="351">
        <v>43387</v>
      </c>
      <c r="D4" s="238">
        <v>11</v>
      </c>
      <c r="E4" s="238">
        <v>19.600000000000001</v>
      </c>
      <c r="F4" s="238">
        <v>1131.5999999999999</v>
      </c>
      <c r="G4" s="238">
        <v>14.9</v>
      </c>
      <c r="H4" s="238">
        <v>18.3</v>
      </c>
      <c r="I4" s="238">
        <v>14.1</v>
      </c>
      <c r="J4" s="356"/>
    </row>
    <row r="5" spans="1:14" ht="28">
      <c r="A5" s="1341" t="s">
        <v>1474</v>
      </c>
      <c r="B5" s="351">
        <v>43315</v>
      </c>
      <c r="C5" s="351">
        <v>43386</v>
      </c>
      <c r="D5" s="238">
        <v>7.3</v>
      </c>
      <c r="E5" s="238">
        <v>17.899999999999999</v>
      </c>
      <c r="F5" s="238">
        <v>523.20000000000005</v>
      </c>
      <c r="G5" s="238">
        <v>10.1</v>
      </c>
      <c r="H5" s="238">
        <v>16.8</v>
      </c>
      <c r="I5" s="238">
        <v>9.4</v>
      </c>
      <c r="J5" s="356"/>
    </row>
    <row r="6" spans="1:14" ht="28">
      <c r="A6" s="1341" t="s">
        <v>1478</v>
      </c>
      <c r="B6" s="351">
        <v>43315</v>
      </c>
      <c r="C6" s="351">
        <v>43394</v>
      </c>
      <c r="D6" s="238">
        <v>6.7</v>
      </c>
      <c r="E6" s="238">
        <v>14.4</v>
      </c>
      <c r="F6" s="238">
        <v>535.20000000000005</v>
      </c>
      <c r="G6" s="238">
        <v>10.3</v>
      </c>
      <c r="H6" s="238">
        <v>13.7</v>
      </c>
      <c r="I6" s="238">
        <v>9.6999999999999993</v>
      </c>
      <c r="J6" s="356"/>
    </row>
    <row r="7" spans="1:14">
      <c r="A7" s="1341" t="s">
        <v>1479</v>
      </c>
      <c r="B7" s="351">
        <v>43306</v>
      </c>
      <c r="C7" s="351">
        <v>43385</v>
      </c>
      <c r="D7" s="238">
        <v>8.3000000000000007</v>
      </c>
      <c r="E7" s="238">
        <v>14.2</v>
      </c>
      <c r="F7" s="238">
        <v>661.2</v>
      </c>
      <c r="G7" s="238">
        <v>11.8</v>
      </c>
      <c r="H7" s="238">
        <v>13.5</v>
      </c>
      <c r="I7" s="238">
        <v>10.9</v>
      </c>
      <c r="J7" s="356"/>
    </row>
    <row r="8" spans="1:14">
      <c r="A8" s="1341" t="s">
        <v>1480</v>
      </c>
      <c r="B8" s="351">
        <v>43285</v>
      </c>
      <c r="C8" s="351">
        <v>43388</v>
      </c>
      <c r="D8" s="238">
        <v>11.5</v>
      </c>
      <c r="E8" s="238">
        <v>27.8</v>
      </c>
      <c r="F8" s="238">
        <v>1194</v>
      </c>
      <c r="G8" s="238">
        <v>15.3</v>
      </c>
      <c r="H8" s="238">
        <v>20</v>
      </c>
      <c r="I8" s="238">
        <v>14.4</v>
      </c>
      <c r="J8" s="356">
        <v>8</v>
      </c>
    </row>
    <row r="9" spans="1:14">
      <c r="A9" s="1341" t="s">
        <v>1481</v>
      </c>
      <c r="B9" s="351">
        <v>43305</v>
      </c>
      <c r="C9" s="351">
        <v>43388</v>
      </c>
      <c r="D9" s="238">
        <v>7.7</v>
      </c>
      <c r="E9" s="238">
        <v>13</v>
      </c>
      <c r="F9" s="238">
        <v>632</v>
      </c>
      <c r="G9" s="238">
        <v>10.5</v>
      </c>
      <c r="H9" s="238">
        <v>12.7</v>
      </c>
      <c r="I9" s="238">
        <v>9.9</v>
      </c>
      <c r="J9" s="356"/>
    </row>
    <row r="10" spans="1:14">
      <c r="A10" s="1341" t="s">
        <v>1482</v>
      </c>
      <c r="B10" s="351">
        <v>43305</v>
      </c>
      <c r="C10" s="351">
        <v>43388</v>
      </c>
      <c r="D10" s="238">
        <v>7</v>
      </c>
      <c r="E10" s="238">
        <v>11.8</v>
      </c>
      <c r="F10" s="238">
        <v>581.4</v>
      </c>
      <c r="G10" s="238">
        <v>9.6</v>
      </c>
      <c r="H10" s="238">
        <v>11.3</v>
      </c>
      <c r="I10" s="238">
        <v>9</v>
      </c>
      <c r="J10" s="356"/>
    </row>
    <row r="11" spans="1:14">
      <c r="A11" s="1341" t="s">
        <v>1483</v>
      </c>
      <c r="B11" s="351">
        <v>43309</v>
      </c>
      <c r="C11" s="351">
        <v>43396</v>
      </c>
      <c r="D11" s="238">
        <v>10.9</v>
      </c>
      <c r="E11" s="238">
        <v>19.2</v>
      </c>
      <c r="F11" s="238">
        <v>949.9</v>
      </c>
      <c r="G11" s="238">
        <v>15.1</v>
      </c>
      <c r="H11" s="238">
        <v>18.3</v>
      </c>
      <c r="I11" s="238">
        <v>14.3</v>
      </c>
      <c r="J11" s="356"/>
    </row>
    <row r="13" spans="1:14">
      <c r="A13" s="2561" t="s">
        <v>1486</v>
      </c>
      <c r="B13" s="2561"/>
      <c r="C13" s="2561"/>
      <c r="D13" s="2561"/>
      <c r="E13" s="2561"/>
      <c r="F13" s="2561"/>
      <c r="G13" s="2561"/>
      <c r="H13" s="2561"/>
      <c r="I13" s="2561"/>
    </row>
    <row r="14" spans="1:14">
      <c r="A14" s="2561" t="s">
        <v>1487</v>
      </c>
      <c r="B14" s="2561"/>
      <c r="C14" s="2561"/>
      <c r="D14" s="2561"/>
      <c r="E14" s="2561"/>
      <c r="F14" s="2561"/>
      <c r="G14" s="2561"/>
      <c r="H14" s="2561"/>
      <c r="I14" s="2561"/>
    </row>
    <row r="15" spans="1:14">
      <c r="A15" s="2561" t="s">
        <v>1488</v>
      </c>
      <c r="B15" s="2561"/>
      <c r="C15" s="2561"/>
      <c r="D15" s="2561"/>
      <c r="E15" s="2561"/>
      <c r="F15" s="2561"/>
      <c r="G15" s="2561"/>
      <c r="H15" s="2561"/>
      <c r="I15" s="2561"/>
    </row>
    <row r="16" spans="1:14" ht="22" customHeight="1">
      <c r="A16" s="2561" t="s">
        <v>1485</v>
      </c>
      <c r="B16" s="2561"/>
      <c r="C16" s="2561"/>
      <c r="D16" s="2561"/>
      <c r="E16" s="2561"/>
      <c r="F16" s="2561"/>
      <c r="G16" s="2561"/>
      <c r="H16" s="2561"/>
      <c r="I16" s="2561"/>
    </row>
  </sheetData>
  <mergeCells count="7">
    <mergeCell ref="A16:I16"/>
    <mergeCell ref="B2:C2"/>
    <mergeCell ref="K1:L1"/>
    <mergeCell ref="M1:N1"/>
    <mergeCell ref="A13:I13"/>
    <mergeCell ref="A14:I14"/>
    <mergeCell ref="A15:I15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85"/>
  <sheetViews>
    <sheetView topLeftCell="A43" workbookViewId="0">
      <selection activeCell="H67" sqref="H67"/>
    </sheetView>
  </sheetViews>
  <sheetFormatPr defaultRowHeight="14"/>
  <cols>
    <col min="1" max="1" width="18.453125" style="12" customWidth="1"/>
    <col min="2" max="2" width="5.90625" style="12" customWidth="1"/>
    <col min="3" max="3" width="6" style="12" customWidth="1"/>
    <col min="5" max="5" width="20.36328125" customWidth="1"/>
    <col min="6" max="6" width="5.08984375" customWidth="1"/>
    <col min="9" max="9" width="22.7265625" customWidth="1"/>
    <col min="13" max="13" width="12.81640625" customWidth="1"/>
    <col min="14" max="14" width="12.1796875" customWidth="1"/>
    <col min="15" max="15" width="22.90625" bestFit="1" customWidth="1"/>
    <col min="16" max="16" width="7.54296875" bestFit="1" customWidth="1"/>
    <col min="17" max="17" width="4.7265625" bestFit="1" customWidth="1"/>
    <col min="18" max="18" width="7.90625" bestFit="1" customWidth="1"/>
    <col min="19" max="19" width="8.54296875" bestFit="1" customWidth="1"/>
  </cols>
  <sheetData>
    <row r="1" spans="1:9" ht="15.5">
      <c r="A1" s="2240" t="s">
        <v>52</v>
      </c>
      <c r="B1" s="2240"/>
      <c r="C1" s="2240"/>
      <c r="D1" s="2240"/>
      <c r="E1" s="2240"/>
      <c r="F1" s="2240"/>
      <c r="G1" s="2240"/>
    </row>
    <row r="2" spans="1:9">
      <c r="A2" s="47"/>
      <c r="B2" s="17" t="s">
        <v>45</v>
      </c>
      <c r="C2" s="17" t="s">
        <v>46</v>
      </c>
      <c r="D2" s="18"/>
      <c r="F2" s="17" t="s">
        <v>89</v>
      </c>
      <c r="G2" s="17" t="s">
        <v>46</v>
      </c>
    </row>
    <row r="3" spans="1:9">
      <c r="A3" s="10" t="s">
        <v>24</v>
      </c>
      <c r="B3" s="156">
        <v>1990</v>
      </c>
      <c r="C3" s="48">
        <v>119.5</v>
      </c>
      <c r="E3" s="10" t="s">
        <v>18</v>
      </c>
      <c r="F3" s="156">
        <v>1990</v>
      </c>
      <c r="G3" s="48">
        <v>334</v>
      </c>
    </row>
    <row r="4" spans="1:9">
      <c r="B4" s="156">
        <v>1991</v>
      </c>
      <c r="C4" s="48">
        <v>270</v>
      </c>
      <c r="E4" s="12"/>
      <c r="F4" s="156">
        <v>1991</v>
      </c>
      <c r="G4" s="48">
        <v>267</v>
      </c>
    </row>
    <row r="5" spans="1:9">
      <c r="B5" s="156">
        <v>1992</v>
      </c>
      <c r="C5" s="48">
        <v>201</v>
      </c>
      <c r="E5" s="12"/>
      <c r="F5" s="156">
        <v>1992</v>
      </c>
      <c r="G5" s="48">
        <v>277</v>
      </c>
    </row>
    <row r="6" spans="1:9">
      <c r="B6" s="156">
        <v>1993</v>
      </c>
      <c r="C6" s="48">
        <v>240</v>
      </c>
      <c r="E6" s="12"/>
      <c r="F6" s="156">
        <v>1993</v>
      </c>
      <c r="G6" s="48">
        <v>216</v>
      </c>
    </row>
    <row r="7" spans="1:9">
      <c r="B7" s="156">
        <v>1994</v>
      </c>
      <c r="C7" s="48">
        <v>100</v>
      </c>
      <c r="E7" s="12"/>
      <c r="F7" s="156">
        <v>1994</v>
      </c>
      <c r="G7" s="48">
        <v>122</v>
      </c>
    </row>
    <row r="8" spans="1:9">
      <c r="B8" s="156">
        <v>1995</v>
      </c>
      <c r="C8" s="48">
        <v>52</v>
      </c>
      <c r="E8" s="12"/>
      <c r="F8" s="156">
        <v>1995</v>
      </c>
      <c r="G8" s="48">
        <v>73</v>
      </c>
    </row>
    <row r="9" spans="1:9">
      <c r="B9" s="156">
        <v>1996</v>
      </c>
      <c r="C9" s="48">
        <v>66.1875</v>
      </c>
      <c r="E9" s="12"/>
      <c r="F9" s="156">
        <v>1996</v>
      </c>
      <c r="G9" s="48">
        <v>58.5</v>
      </c>
    </row>
    <row r="10" spans="1:9">
      <c r="B10" s="156">
        <v>1997</v>
      </c>
      <c r="C10" s="48">
        <v>85.579818007202547</v>
      </c>
      <c r="E10" s="12"/>
      <c r="F10" s="156">
        <v>1997</v>
      </c>
      <c r="G10" s="48">
        <v>63.093039493995008</v>
      </c>
    </row>
    <row r="11" spans="1:9">
      <c r="B11" s="156">
        <v>1998</v>
      </c>
      <c r="C11" s="48">
        <v>69.2</v>
      </c>
      <c r="E11" s="12"/>
      <c r="F11" s="156">
        <v>1998</v>
      </c>
      <c r="G11" s="48">
        <v>40.799999999999997</v>
      </c>
    </row>
    <row r="12" spans="1:9">
      <c r="B12" s="156">
        <v>1999</v>
      </c>
      <c r="C12" s="48">
        <v>54</v>
      </c>
      <c r="E12" s="12"/>
      <c r="F12" s="156">
        <v>1999</v>
      </c>
      <c r="G12" s="48">
        <v>38</v>
      </c>
    </row>
    <row r="13" spans="1:9">
      <c r="B13" s="156">
        <v>2000</v>
      </c>
      <c r="C13" s="48">
        <v>56</v>
      </c>
      <c r="E13" s="12"/>
      <c r="F13" s="156">
        <v>2000</v>
      </c>
      <c r="G13" s="48">
        <v>37</v>
      </c>
    </row>
    <row r="14" spans="1:9">
      <c r="B14" s="156">
        <v>2001</v>
      </c>
      <c r="C14" s="48">
        <v>64</v>
      </c>
      <c r="E14" s="12"/>
      <c r="F14" s="156">
        <v>2001</v>
      </c>
      <c r="G14" s="48">
        <v>22</v>
      </c>
    </row>
    <row r="15" spans="1:9">
      <c r="B15" s="156">
        <v>2002</v>
      </c>
      <c r="C15" s="48">
        <v>55.5</v>
      </c>
      <c r="E15" s="12"/>
      <c r="F15" s="156">
        <v>2002</v>
      </c>
      <c r="G15" s="48">
        <v>137.30000000000001</v>
      </c>
    </row>
    <row r="16" spans="1:9">
      <c r="B16" s="156">
        <v>2003</v>
      </c>
      <c r="C16" s="48">
        <v>52.9</v>
      </c>
      <c r="F16" s="156">
        <v>2003</v>
      </c>
      <c r="G16" s="48">
        <v>113.3</v>
      </c>
      <c r="I16" s="15"/>
    </row>
    <row r="17" spans="2:9">
      <c r="B17" s="156">
        <v>2004</v>
      </c>
      <c r="C17" s="48">
        <v>44.3</v>
      </c>
      <c r="F17" s="156">
        <v>2004</v>
      </c>
      <c r="G17" s="48">
        <v>34.1</v>
      </c>
      <c r="I17" s="15"/>
    </row>
    <row r="18" spans="2:9">
      <c r="B18" s="156">
        <v>2005</v>
      </c>
      <c r="C18" s="48">
        <v>47</v>
      </c>
      <c r="F18" s="156">
        <v>2005</v>
      </c>
      <c r="G18" s="48">
        <v>44</v>
      </c>
      <c r="I18" s="15"/>
    </row>
    <row r="19" spans="2:9">
      <c r="B19" s="156">
        <v>2006</v>
      </c>
      <c r="C19" s="48">
        <v>26</v>
      </c>
      <c r="F19" s="156">
        <v>2006</v>
      </c>
      <c r="G19" s="48">
        <v>21.3</v>
      </c>
      <c r="I19" s="15"/>
    </row>
    <row r="20" spans="2:9">
      <c r="B20" s="156">
        <v>2007</v>
      </c>
      <c r="C20" s="48">
        <v>31</v>
      </c>
      <c r="F20" s="156">
        <v>2007</v>
      </c>
      <c r="G20" s="48">
        <v>41</v>
      </c>
      <c r="I20" s="15"/>
    </row>
    <row r="21" spans="2:9">
      <c r="B21" s="156">
        <v>2008</v>
      </c>
      <c r="C21" s="48">
        <v>62.2</v>
      </c>
      <c r="F21" s="156">
        <v>2008</v>
      </c>
      <c r="G21" s="48">
        <v>37.700000000000003</v>
      </c>
      <c r="I21" s="15"/>
    </row>
    <row r="22" spans="2:9">
      <c r="B22" s="156">
        <v>2009</v>
      </c>
      <c r="C22" s="48">
        <v>35.299999999999997</v>
      </c>
      <c r="F22" s="156">
        <v>2009</v>
      </c>
      <c r="G22" s="48">
        <v>19.100000000000001</v>
      </c>
      <c r="I22" s="15"/>
    </row>
    <row r="23" spans="2:9">
      <c r="B23" s="156">
        <v>2010</v>
      </c>
      <c r="C23" s="48">
        <v>38.9</v>
      </c>
      <c r="F23" s="156">
        <v>2010</v>
      </c>
      <c r="G23" s="48">
        <v>45.9</v>
      </c>
      <c r="I23" s="15"/>
    </row>
    <row r="24" spans="2:9">
      <c r="B24" s="156">
        <v>2011</v>
      </c>
      <c r="C24" s="48">
        <v>47.9</v>
      </c>
      <c r="F24" s="156">
        <v>2011</v>
      </c>
      <c r="G24" s="48">
        <v>36.9</v>
      </c>
      <c r="I24" s="15"/>
    </row>
    <row r="25" spans="2:9">
      <c r="B25" s="156">
        <v>2012</v>
      </c>
      <c r="C25" s="48">
        <v>69.8</v>
      </c>
      <c r="F25" s="156">
        <v>2012</v>
      </c>
      <c r="G25" s="48">
        <v>61.7</v>
      </c>
      <c r="I25" s="15"/>
    </row>
    <row r="26" spans="2:9">
      <c r="B26" s="156">
        <v>2013</v>
      </c>
      <c r="C26" s="48">
        <v>59.8</v>
      </c>
      <c r="F26" s="156">
        <v>2013</v>
      </c>
      <c r="G26" s="48">
        <v>47.4</v>
      </c>
      <c r="I26" s="15"/>
    </row>
    <row r="27" spans="2:9">
      <c r="B27" s="156">
        <v>2014</v>
      </c>
      <c r="C27" s="48">
        <v>36.1</v>
      </c>
      <c r="F27" s="156">
        <v>2014</v>
      </c>
      <c r="G27" s="48">
        <v>28.4</v>
      </c>
      <c r="I27" s="15"/>
    </row>
    <row r="28" spans="2:9">
      <c r="B28" s="156">
        <v>2015</v>
      </c>
      <c r="C28" s="48">
        <v>69</v>
      </c>
      <c r="F28" s="156">
        <v>2015</v>
      </c>
      <c r="G28" s="48">
        <v>43</v>
      </c>
      <c r="I28" s="15"/>
    </row>
    <row r="29" spans="2:9">
      <c r="B29" s="156">
        <v>2016</v>
      </c>
      <c r="C29" s="48">
        <v>93</v>
      </c>
      <c r="F29" s="156">
        <v>2016</v>
      </c>
      <c r="G29" s="48">
        <v>33</v>
      </c>
      <c r="I29" s="15"/>
    </row>
    <row r="30" spans="2:9">
      <c r="B30" s="156">
        <v>2017</v>
      </c>
      <c r="C30" s="48">
        <v>57</v>
      </c>
      <c r="F30" s="156">
        <v>2017</v>
      </c>
      <c r="G30" s="48">
        <v>64</v>
      </c>
      <c r="I30" s="15"/>
    </row>
    <row r="31" spans="2:9">
      <c r="B31" s="156">
        <v>2018</v>
      </c>
      <c r="C31" s="48">
        <v>48</v>
      </c>
      <c r="F31" s="156">
        <v>2018</v>
      </c>
      <c r="G31" s="48">
        <v>49</v>
      </c>
      <c r="I31" s="15"/>
    </row>
    <row r="32" spans="2:9">
      <c r="B32" s="156">
        <v>2019</v>
      </c>
      <c r="C32" s="48">
        <v>91.7</v>
      </c>
      <c r="F32" s="156">
        <v>2019</v>
      </c>
      <c r="G32" s="48">
        <v>41.2</v>
      </c>
      <c r="I32" s="15"/>
    </row>
    <row r="33" spans="1:9">
      <c r="A33" s="10" t="s">
        <v>23</v>
      </c>
      <c r="B33" s="156">
        <v>1990</v>
      </c>
      <c r="C33" s="48">
        <v>124.5</v>
      </c>
      <c r="E33" s="10" t="s">
        <v>20</v>
      </c>
      <c r="F33" s="156">
        <v>1991</v>
      </c>
      <c r="G33" s="48"/>
      <c r="I33" s="15"/>
    </row>
    <row r="34" spans="1:9">
      <c r="B34" s="156">
        <v>1991</v>
      </c>
      <c r="C34" s="48">
        <v>137.19999999999999</v>
      </c>
      <c r="E34" s="12"/>
      <c r="F34" s="156">
        <v>1992</v>
      </c>
      <c r="G34" s="48">
        <v>121</v>
      </c>
      <c r="I34" s="15"/>
    </row>
    <row r="35" spans="1:9">
      <c r="B35" s="156">
        <v>1992</v>
      </c>
      <c r="C35" s="48">
        <v>140.21430000000001</v>
      </c>
      <c r="E35" s="12"/>
      <c r="F35" s="156">
        <v>1993</v>
      </c>
      <c r="G35" s="48">
        <v>146</v>
      </c>
      <c r="I35" s="15"/>
    </row>
    <row r="36" spans="1:9">
      <c r="B36" s="156">
        <v>1993</v>
      </c>
      <c r="C36" s="48">
        <v>164</v>
      </c>
      <c r="E36" s="12"/>
      <c r="F36" s="156">
        <v>1994</v>
      </c>
      <c r="G36" s="48">
        <v>69.625</v>
      </c>
      <c r="I36" s="15"/>
    </row>
    <row r="37" spans="1:9">
      <c r="B37" s="156">
        <v>1994</v>
      </c>
      <c r="C37" s="48">
        <v>79</v>
      </c>
      <c r="E37" s="12"/>
      <c r="F37" s="156">
        <v>1995</v>
      </c>
      <c r="G37" s="48">
        <v>73</v>
      </c>
      <c r="I37" s="15"/>
    </row>
    <row r="38" spans="1:9">
      <c r="B38" s="156">
        <v>1995</v>
      </c>
      <c r="C38" s="48">
        <v>37</v>
      </c>
      <c r="E38" s="12"/>
      <c r="F38" s="156">
        <v>1996</v>
      </c>
      <c r="G38" s="48">
        <v>32.5625</v>
      </c>
      <c r="I38" s="15"/>
    </row>
    <row r="39" spans="1:9">
      <c r="B39" s="156">
        <v>1996</v>
      </c>
      <c r="C39" s="48">
        <v>33.0625</v>
      </c>
      <c r="E39" s="12"/>
      <c r="F39" s="156">
        <v>1997</v>
      </c>
      <c r="G39" s="48">
        <v>45.862384843073144</v>
      </c>
      <c r="I39" s="15"/>
    </row>
    <row r="40" spans="1:9">
      <c r="B40" s="156">
        <v>1997</v>
      </c>
      <c r="C40" s="48">
        <v>44.577577959420516</v>
      </c>
      <c r="E40" s="12"/>
      <c r="F40" s="156">
        <v>1998</v>
      </c>
      <c r="G40" s="48">
        <v>35</v>
      </c>
      <c r="I40" s="15"/>
    </row>
    <row r="41" spans="1:9">
      <c r="B41" s="156">
        <v>1998</v>
      </c>
      <c r="C41" s="48">
        <v>39.799999999999997</v>
      </c>
      <c r="E41" s="12"/>
      <c r="F41" s="156">
        <v>1999</v>
      </c>
      <c r="G41" s="48">
        <v>36</v>
      </c>
      <c r="I41" s="15"/>
    </row>
    <row r="42" spans="1:9">
      <c r="B42" s="156">
        <v>1999</v>
      </c>
      <c r="C42" s="48">
        <v>37</v>
      </c>
      <c r="E42" s="12"/>
      <c r="F42" s="156">
        <v>2000</v>
      </c>
      <c r="G42" s="48">
        <v>55</v>
      </c>
      <c r="I42" s="15"/>
    </row>
    <row r="43" spans="1:9">
      <c r="B43" s="156">
        <v>2000</v>
      </c>
      <c r="C43" s="48">
        <v>57</v>
      </c>
      <c r="E43" s="12"/>
      <c r="F43" s="156">
        <v>2001</v>
      </c>
      <c r="G43" s="48">
        <v>42</v>
      </c>
      <c r="I43" s="15"/>
    </row>
    <row r="44" spans="1:9">
      <c r="B44" s="156">
        <v>2001</v>
      </c>
      <c r="C44" s="48">
        <v>42</v>
      </c>
      <c r="E44" s="12"/>
      <c r="F44" s="156">
        <v>2002</v>
      </c>
      <c r="G44" s="48">
        <v>34</v>
      </c>
      <c r="I44" s="15"/>
    </row>
    <row r="45" spans="1:9">
      <c r="B45" s="156">
        <v>2002</v>
      </c>
      <c r="C45" s="48">
        <v>49</v>
      </c>
      <c r="F45" s="156">
        <v>2003</v>
      </c>
      <c r="G45" s="48">
        <v>47.8</v>
      </c>
      <c r="I45" s="15"/>
    </row>
    <row r="46" spans="1:9">
      <c r="B46" s="156">
        <v>2003</v>
      </c>
      <c r="C46" s="48">
        <v>46.6</v>
      </c>
      <c r="F46" s="156">
        <v>2004</v>
      </c>
      <c r="G46" s="48">
        <v>30.1</v>
      </c>
      <c r="I46" s="15"/>
    </row>
    <row r="47" spans="1:9">
      <c r="B47" s="156">
        <v>2004</v>
      </c>
      <c r="C47" s="48">
        <v>26.9</v>
      </c>
      <c r="E47" s="23" t="s">
        <v>119</v>
      </c>
      <c r="F47" s="156">
        <v>2005</v>
      </c>
      <c r="G47" s="48">
        <v>37</v>
      </c>
      <c r="I47" s="15"/>
    </row>
    <row r="48" spans="1:9">
      <c r="B48" s="156">
        <v>2005</v>
      </c>
      <c r="C48" s="48">
        <v>34</v>
      </c>
      <c r="F48" s="156">
        <v>2006</v>
      </c>
      <c r="G48" s="48">
        <v>19.5</v>
      </c>
      <c r="I48" s="15"/>
    </row>
    <row r="49" spans="1:9">
      <c r="B49" s="156">
        <v>2006</v>
      </c>
      <c r="C49" s="48">
        <v>24.3</v>
      </c>
      <c r="F49" s="156">
        <v>2007</v>
      </c>
      <c r="G49" s="48">
        <v>36</v>
      </c>
      <c r="I49" s="15"/>
    </row>
    <row r="50" spans="1:9">
      <c r="B50" s="156">
        <v>2007</v>
      </c>
      <c r="C50" s="48">
        <v>31</v>
      </c>
      <c r="F50" s="156">
        <v>2008</v>
      </c>
      <c r="I50" s="15"/>
    </row>
    <row r="51" spans="1:9">
      <c r="B51" s="156"/>
      <c r="C51" s="48"/>
      <c r="F51" s="156">
        <v>2009</v>
      </c>
      <c r="I51" s="15"/>
    </row>
    <row r="52" spans="1:9">
      <c r="B52" s="156"/>
      <c r="C52" s="48"/>
      <c r="I52" s="15"/>
    </row>
    <row r="53" spans="1:9">
      <c r="B53" s="156"/>
      <c r="C53" s="48"/>
      <c r="I53" s="15"/>
    </row>
    <row r="54" spans="1:9">
      <c r="A54" s="10" t="s">
        <v>22</v>
      </c>
      <c r="B54" s="156">
        <v>1990</v>
      </c>
      <c r="C54" s="48">
        <v>129</v>
      </c>
      <c r="E54" s="10" t="s">
        <v>17</v>
      </c>
      <c r="F54" s="156">
        <v>1990</v>
      </c>
      <c r="G54" s="12">
        <v>537</v>
      </c>
      <c r="I54" s="15"/>
    </row>
    <row r="55" spans="1:9">
      <c r="B55" s="156">
        <v>1991</v>
      </c>
      <c r="C55" s="48">
        <v>144</v>
      </c>
      <c r="E55" s="12"/>
      <c r="F55" s="156">
        <v>1991</v>
      </c>
      <c r="G55" s="48">
        <v>383</v>
      </c>
      <c r="I55" s="15"/>
    </row>
    <row r="56" spans="1:9">
      <c r="B56" s="156">
        <v>1992</v>
      </c>
      <c r="C56" s="48">
        <v>146</v>
      </c>
      <c r="E56" s="12"/>
      <c r="F56" s="156">
        <v>1992</v>
      </c>
      <c r="G56" s="48">
        <v>362</v>
      </c>
      <c r="I56" s="15"/>
    </row>
    <row r="57" spans="1:9">
      <c r="B57" s="156">
        <v>1993</v>
      </c>
      <c r="C57" s="48">
        <v>175</v>
      </c>
      <c r="E57" s="12"/>
      <c r="F57" s="156">
        <v>1993</v>
      </c>
      <c r="G57" s="48">
        <v>269</v>
      </c>
      <c r="I57" s="15"/>
    </row>
    <row r="58" spans="1:9">
      <c r="B58" s="156">
        <v>1994</v>
      </c>
      <c r="C58" s="48">
        <v>83</v>
      </c>
      <c r="E58" s="12"/>
      <c r="F58" s="156">
        <v>1994</v>
      </c>
      <c r="G58" s="48">
        <v>91</v>
      </c>
      <c r="I58" s="15"/>
    </row>
    <row r="59" spans="1:9">
      <c r="B59" s="156">
        <v>1995</v>
      </c>
      <c r="C59" s="48">
        <v>34</v>
      </c>
      <c r="E59" s="12"/>
      <c r="F59" s="156">
        <v>1995</v>
      </c>
      <c r="G59" s="48">
        <v>47</v>
      </c>
      <c r="I59" s="15"/>
    </row>
    <row r="60" spans="1:9">
      <c r="B60" s="156">
        <v>1996</v>
      </c>
      <c r="C60" s="48">
        <v>29.4375</v>
      </c>
      <c r="E60" s="12"/>
      <c r="F60" s="156">
        <v>1996</v>
      </c>
      <c r="G60" s="48">
        <v>16.0625</v>
      </c>
      <c r="I60" s="15"/>
    </row>
    <row r="61" spans="1:9">
      <c r="B61" s="156">
        <v>1997</v>
      </c>
      <c r="C61" s="74">
        <v>38</v>
      </c>
      <c r="E61" s="12"/>
      <c r="F61" s="156">
        <v>1997</v>
      </c>
      <c r="G61" s="74">
        <v>80</v>
      </c>
      <c r="I61" s="15"/>
    </row>
    <row r="62" spans="1:9">
      <c r="B62" s="156">
        <v>1998</v>
      </c>
      <c r="C62" s="74">
        <v>33.299999999999997</v>
      </c>
      <c r="E62" s="12"/>
      <c r="F62" s="156">
        <v>1998</v>
      </c>
      <c r="G62" s="74">
        <v>33</v>
      </c>
      <c r="I62" s="15"/>
    </row>
    <row r="63" spans="1:9">
      <c r="B63" s="156">
        <v>1999</v>
      </c>
      <c r="C63" s="74">
        <v>34</v>
      </c>
      <c r="E63" s="12"/>
      <c r="F63" s="156">
        <v>1999</v>
      </c>
      <c r="G63" s="74">
        <v>47</v>
      </c>
      <c r="I63" s="15"/>
    </row>
    <row r="64" spans="1:9">
      <c r="B64" s="156">
        <v>2000</v>
      </c>
      <c r="C64" s="74">
        <v>59</v>
      </c>
      <c r="E64" s="12"/>
      <c r="F64" s="156">
        <v>2000</v>
      </c>
      <c r="G64" s="74">
        <v>19</v>
      </c>
      <c r="I64" s="15"/>
    </row>
    <row r="65" spans="2:9">
      <c r="B65" s="156">
        <v>2001</v>
      </c>
      <c r="C65" s="74">
        <v>42</v>
      </c>
      <c r="E65" s="12"/>
      <c r="F65" s="156">
        <v>2001</v>
      </c>
      <c r="G65" s="74">
        <v>22</v>
      </c>
      <c r="I65" s="15"/>
    </row>
    <row r="66" spans="2:9">
      <c r="B66" s="156">
        <v>2002</v>
      </c>
      <c r="C66" s="74">
        <v>46.1</v>
      </c>
      <c r="E66" s="12"/>
      <c r="F66" s="156">
        <v>2002</v>
      </c>
      <c r="G66" s="74">
        <v>14.9</v>
      </c>
      <c r="I66" s="15"/>
    </row>
    <row r="67" spans="2:9">
      <c r="B67" s="156">
        <v>2003</v>
      </c>
      <c r="C67" s="74">
        <v>49.1</v>
      </c>
      <c r="F67" s="156">
        <v>2003</v>
      </c>
      <c r="G67" s="74">
        <v>22.6</v>
      </c>
      <c r="I67" s="15"/>
    </row>
    <row r="68" spans="2:9">
      <c r="B68" s="156">
        <v>2004</v>
      </c>
      <c r="C68" s="74">
        <v>24.3</v>
      </c>
      <c r="F68" s="156">
        <v>2004</v>
      </c>
      <c r="G68" s="74">
        <v>21.7</v>
      </c>
      <c r="I68" s="15"/>
    </row>
    <row r="69" spans="2:9">
      <c r="B69" s="156">
        <v>2005</v>
      </c>
      <c r="C69" s="74">
        <v>33</v>
      </c>
      <c r="F69" s="156">
        <v>2005</v>
      </c>
      <c r="G69" s="74">
        <v>23</v>
      </c>
      <c r="I69" s="15"/>
    </row>
    <row r="70" spans="2:9">
      <c r="B70" s="156">
        <v>2006</v>
      </c>
      <c r="C70" s="74">
        <v>21.6</v>
      </c>
      <c r="F70" s="156">
        <v>2006</v>
      </c>
      <c r="G70" s="74">
        <v>7.6</v>
      </c>
      <c r="I70" s="15"/>
    </row>
    <row r="71" spans="2:9">
      <c r="B71" s="156">
        <v>2007</v>
      </c>
      <c r="C71" s="74">
        <v>30</v>
      </c>
      <c r="F71" s="156">
        <v>2007</v>
      </c>
      <c r="G71" s="74">
        <v>23</v>
      </c>
      <c r="I71" s="15"/>
    </row>
    <row r="72" spans="2:9">
      <c r="B72" s="156">
        <v>2008</v>
      </c>
      <c r="C72" s="74">
        <v>39.799999999999997</v>
      </c>
      <c r="F72" s="156">
        <v>2008</v>
      </c>
      <c r="G72" s="74">
        <v>14.8</v>
      </c>
      <c r="I72" s="15"/>
    </row>
    <row r="73" spans="2:9">
      <c r="B73" s="156">
        <v>2009</v>
      </c>
      <c r="C73" s="74">
        <v>34.200000000000003</v>
      </c>
      <c r="F73" s="156">
        <v>2009</v>
      </c>
      <c r="G73" s="74">
        <v>35.5</v>
      </c>
      <c r="I73" s="15"/>
    </row>
    <row r="74" spans="2:9">
      <c r="B74" s="156">
        <v>2010</v>
      </c>
      <c r="C74" s="74">
        <v>28.3</v>
      </c>
      <c r="F74" s="156">
        <v>2010</v>
      </c>
      <c r="G74" s="74">
        <v>19.3</v>
      </c>
      <c r="I74" s="15"/>
    </row>
    <row r="75" spans="2:9">
      <c r="B75" s="156">
        <v>2011</v>
      </c>
      <c r="C75" s="74">
        <v>33.700000000000003</v>
      </c>
      <c r="F75" s="156">
        <v>2011</v>
      </c>
      <c r="G75" s="74">
        <v>12.5</v>
      </c>
      <c r="I75" s="15"/>
    </row>
    <row r="76" spans="2:9">
      <c r="B76" s="156">
        <v>2012</v>
      </c>
      <c r="C76" s="74">
        <v>53.4</v>
      </c>
      <c r="F76" s="156">
        <v>2012</v>
      </c>
      <c r="G76" s="74">
        <v>32.299999999999997</v>
      </c>
      <c r="I76" s="15"/>
    </row>
    <row r="77" spans="2:9">
      <c r="B77" s="156">
        <v>2013</v>
      </c>
      <c r="C77" s="74">
        <v>71.400000000000006</v>
      </c>
      <c r="F77" s="156">
        <v>2013</v>
      </c>
      <c r="G77" s="74">
        <v>21.8</v>
      </c>
      <c r="I77" s="15"/>
    </row>
    <row r="78" spans="2:9">
      <c r="B78" s="156">
        <v>2014</v>
      </c>
      <c r="C78" s="74">
        <v>24.8</v>
      </c>
      <c r="F78" s="156">
        <v>2014</v>
      </c>
      <c r="G78" s="74">
        <v>19.899999999999999</v>
      </c>
      <c r="I78" s="15"/>
    </row>
    <row r="79" spans="2:9">
      <c r="B79" s="156">
        <v>2015</v>
      </c>
      <c r="C79" s="74">
        <v>42</v>
      </c>
      <c r="F79" s="156">
        <v>2015</v>
      </c>
      <c r="G79" s="74">
        <v>54</v>
      </c>
      <c r="I79" s="15"/>
    </row>
    <row r="80" spans="2:9">
      <c r="B80" s="156">
        <v>2016</v>
      </c>
      <c r="C80" s="74">
        <v>38</v>
      </c>
      <c r="F80" s="156">
        <v>2016</v>
      </c>
      <c r="G80" s="74">
        <v>25</v>
      </c>
      <c r="I80" s="15"/>
    </row>
    <row r="81" spans="1:9">
      <c r="B81" s="156">
        <v>2017</v>
      </c>
      <c r="C81" s="74">
        <v>33</v>
      </c>
      <c r="F81" s="156">
        <v>2017</v>
      </c>
      <c r="G81" s="74">
        <v>79</v>
      </c>
      <c r="I81" s="15"/>
    </row>
    <row r="82" spans="1:9">
      <c r="B82" s="156">
        <v>2018</v>
      </c>
      <c r="C82" s="74">
        <v>41</v>
      </c>
      <c r="F82" s="156">
        <v>2018</v>
      </c>
      <c r="G82" s="74">
        <v>24</v>
      </c>
      <c r="I82" s="15"/>
    </row>
    <row r="83" spans="1:9">
      <c r="B83" s="156">
        <v>2019</v>
      </c>
      <c r="C83" s="74">
        <v>38.700000000000003</v>
      </c>
      <c r="F83" s="156">
        <v>2019</v>
      </c>
      <c r="G83" s="74">
        <v>29.7</v>
      </c>
      <c r="I83" s="15"/>
    </row>
    <row r="84" spans="1:9" ht="15.5">
      <c r="A84" s="2240" t="s">
        <v>52</v>
      </c>
      <c r="B84" s="2240"/>
      <c r="C84" s="2240"/>
      <c r="D84" s="2240"/>
      <c r="E84" s="2240"/>
      <c r="F84" s="2240"/>
      <c r="G84" s="2240"/>
      <c r="I84" s="15"/>
    </row>
    <row r="85" spans="1:9">
      <c r="B85" s="17" t="s">
        <v>89</v>
      </c>
      <c r="C85" s="17" t="s">
        <v>46</v>
      </c>
      <c r="F85" s="17" t="s">
        <v>89</v>
      </c>
      <c r="G85" s="17" t="s">
        <v>46</v>
      </c>
      <c r="I85" s="15"/>
    </row>
    <row r="86" spans="1:9">
      <c r="A86" s="10" t="s">
        <v>19</v>
      </c>
      <c r="B86" s="156">
        <v>1990</v>
      </c>
      <c r="C86" s="48">
        <v>128</v>
      </c>
      <c r="E86" s="10" t="s">
        <v>50</v>
      </c>
      <c r="F86" s="156">
        <v>1990</v>
      </c>
      <c r="G86" s="48">
        <f t="shared" ref="G86:G111" si="0">(G54+G3)/2</f>
        <v>435.5</v>
      </c>
      <c r="I86" s="15"/>
    </row>
    <row r="87" spans="1:9">
      <c r="B87" s="156">
        <v>1991</v>
      </c>
      <c r="C87" s="48">
        <v>181</v>
      </c>
      <c r="E87" s="12"/>
      <c r="F87" s="156">
        <v>1991</v>
      </c>
      <c r="G87" s="48">
        <f t="shared" si="0"/>
        <v>325</v>
      </c>
      <c r="I87" s="15"/>
    </row>
    <row r="88" spans="1:9">
      <c r="B88" s="156">
        <v>1992</v>
      </c>
      <c r="C88" s="48">
        <v>157</v>
      </c>
      <c r="E88" s="12"/>
      <c r="F88" s="156">
        <v>1992</v>
      </c>
      <c r="G88" s="48">
        <f t="shared" si="0"/>
        <v>319.5</v>
      </c>
      <c r="I88" s="15"/>
    </row>
    <row r="89" spans="1:9">
      <c r="B89" s="156">
        <v>1993</v>
      </c>
      <c r="C89" s="48">
        <v>177</v>
      </c>
      <c r="E89" s="12"/>
      <c r="F89" s="156">
        <v>1993</v>
      </c>
      <c r="G89" s="48">
        <f t="shared" si="0"/>
        <v>242.5</v>
      </c>
      <c r="I89" s="15"/>
    </row>
    <row r="90" spans="1:9">
      <c r="B90" s="156">
        <v>1994</v>
      </c>
      <c r="C90" s="48">
        <v>92</v>
      </c>
      <c r="E90" s="12"/>
      <c r="F90" s="156">
        <v>1994</v>
      </c>
      <c r="G90" s="48">
        <f t="shared" si="0"/>
        <v>106.5</v>
      </c>
      <c r="I90" s="15"/>
    </row>
    <row r="91" spans="1:9">
      <c r="B91" s="156">
        <v>1995</v>
      </c>
      <c r="C91" s="48">
        <v>36</v>
      </c>
      <c r="E91" s="12"/>
      <c r="F91" s="156">
        <v>1995</v>
      </c>
      <c r="G91" s="48">
        <f t="shared" si="0"/>
        <v>60</v>
      </c>
      <c r="I91" s="15"/>
    </row>
    <row r="92" spans="1:9">
      <c r="B92" s="156">
        <v>1996</v>
      </c>
      <c r="C92" s="48">
        <v>34.9375</v>
      </c>
      <c r="E92" s="12"/>
      <c r="F92" s="156">
        <v>1996</v>
      </c>
      <c r="G92" s="48">
        <f t="shared" si="0"/>
        <v>37.28125</v>
      </c>
      <c r="I92" s="15"/>
    </row>
    <row r="93" spans="1:9">
      <c r="B93" s="156">
        <v>1997</v>
      </c>
      <c r="C93" s="48">
        <v>39</v>
      </c>
      <c r="E93" s="12"/>
      <c r="F93" s="156">
        <v>1997</v>
      </c>
      <c r="G93" s="48">
        <f t="shared" si="0"/>
        <v>71.546519746997504</v>
      </c>
      <c r="I93" s="15"/>
    </row>
    <row r="94" spans="1:9">
      <c r="B94" s="156">
        <v>1998</v>
      </c>
      <c r="C94" s="48">
        <v>34.5</v>
      </c>
      <c r="E94" s="12"/>
      <c r="F94" s="156">
        <v>1998</v>
      </c>
      <c r="G94" s="48">
        <f t="shared" si="0"/>
        <v>36.9</v>
      </c>
      <c r="I94" s="15"/>
    </row>
    <row r="95" spans="1:9">
      <c r="B95" s="156">
        <v>1999</v>
      </c>
      <c r="C95" s="48">
        <v>35</v>
      </c>
      <c r="E95" s="12"/>
      <c r="F95" s="156">
        <v>1999</v>
      </c>
      <c r="G95" s="48">
        <f t="shared" si="0"/>
        <v>42.5</v>
      </c>
      <c r="I95" s="15"/>
    </row>
    <row r="96" spans="1:9">
      <c r="B96" s="156">
        <v>2000</v>
      </c>
      <c r="C96" s="48">
        <v>58</v>
      </c>
      <c r="E96" s="12"/>
      <c r="F96" s="156">
        <v>2000</v>
      </c>
      <c r="G96" s="48">
        <f t="shared" si="0"/>
        <v>28</v>
      </c>
      <c r="I96" s="15"/>
    </row>
    <row r="97" spans="2:20">
      <c r="B97" s="156">
        <v>2001</v>
      </c>
      <c r="C97" s="48">
        <v>46</v>
      </c>
      <c r="E97" s="12"/>
      <c r="F97" s="156">
        <v>2001</v>
      </c>
      <c r="G97" s="48">
        <f t="shared" si="0"/>
        <v>22</v>
      </c>
      <c r="I97" s="15"/>
    </row>
    <row r="98" spans="2:20">
      <c r="B98" s="156">
        <v>2002</v>
      </c>
      <c r="C98" s="48">
        <v>46.9</v>
      </c>
      <c r="E98" s="12"/>
      <c r="F98" s="156">
        <v>2002</v>
      </c>
      <c r="G98" s="48">
        <f t="shared" si="0"/>
        <v>76.100000000000009</v>
      </c>
      <c r="I98" s="15"/>
    </row>
    <row r="99" spans="2:20">
      <c r="B99" s="156">
        <v>2003</v>
      </c>
      <c r="C99" s="48">
        <v>63.3</v>
      </c>
      <c r="F99" s="156">
        <v>2003</v>
      </c>
      <c r="G99" s="48">
        <f t="shared" si="0"/>
        <v>67.95</v>
      </c>
      <c r="I99" s="15"/>
    </row>
    <row r="100" spans="2:20">
      <c r="B100" s="156">
        <v>2004</v>
      </c>
      <c r="C100" s="48">
        <v>30.1</v>
      </c>
      <c r="F100" s="156">
        <v>2004</v>
      </c>
      <c r="G100" s="48">
        <f t="shared" si="0"/>
        <v>27.9</v>
      </c>
      <c r="I100" s="15"/>
    </row>
    <row r="101" spans="2:20">
      <c r="B101" s="156">
        <v>2005</v>
      </c>
      <c r="C101" s="48">
        <v>32</v>
      </c>
      <c r="F101" s="156">
        <v>2005</v>
      </c>
      <c r="G101" s="48">
        <f t="shared" si="0"/>
        <v>33.5</v>
      </c>
      <c r="I101" s="15"/>
    </row>
    <row r="102" spans="2:20">
      <c r="B102" s="156">
        <v>2006</v>
      </c>
      <c r="C102" s="48">
        <v>22.8</v>
      </c>
      <c r="F102" s="156">
        <v>2006</v>
      </c>
      <c r="G102" s="48">
        <f t="shared" si="0"/>
        <v>14.45</v>
      </c>
      <c r="I102" s="15"/>
    </row>
    <row r="103" spans="2:20">
      <c r="B103" s="156">
        <v>2007</v>
      </c>
      <c r="C103" s="48">
        <v>31</v>
      </c>
      <c r="F103" s="156">
        <v>2007</v>
      </c>
      <c r="G103" s="48">
        <f t="shared" si="0"/>
        <v>32</v>
      </c>
      <c r="I103" s="15"/>
    </row>
    <row r="104" spans="2:20" ht="28.5" customHeight="1">
      <c r="B104" s="156">
        <v>2008</v>
      </c>
      <c r="C104" s="48">
        <v>29</v>
      </c>
      <c r="F104" s="156">
        <v>2008</v>
      </c>
      <c r="G104" s="48">
        <f t="shared" si="0"/>
        <v>26.25</v>
      </c>
      <c r="I104" s="15"/>
      <c r="J104" s="243" t="s">
        <v>84</v>
      </c>
      <c r="K104" s="243" t="s">
        <v>76</v>
      </c>
      <c r="L104" s="243" t="s">
        <v>85</v>
      </c>
      <c r="M104" s="243" t="s">
        <v>86</v>
      </c>
      <c r="N104" s="243" t="s">
        <v>87</v>
      </c>
      <c r="P104" s="464" t="s">
        <v>84</v>
      </c>
      <c r="Q104" s="464" t="s">
        <v>76</v>
      </c>
      <c r="R104" s="464" t="s">
        <v>85</v>
      </c>
      <c r="S104" s="464" t="s">
        <v>86</v>
      </c>
      <c r="T104" s="464" t="s">
        <v>87</v>
      </c>
    </row>
    <row r="105" spans="2:20">
      <c r="B105" s="156">
        <v>2009</v>
      </c>
      <c r="C105" s="48">
        <v>24.2</v>
      </c>
      <c r="F105" s="156">
        <v>2009</v>
      </c>
      <c r="G105" s="48">
        <f t="shared" si="0"/>
        <v>27.3</v>
      </c>
      <c r="I105" s="266" t="s">
        <v>307</v>
      </c>
      <c r="J105">
        <v>54.333333333333336</v>
      </c>
      <c r="K105">
        <v>277</v>
      </c>
      <c r="L105">
        <v>67.666666666666671</v>
      </c>
      <c r="M105">
        <v>55.466666666666669</v>
      </c>
      <c r="N105">
        <v>87.833333333333329</v>
      </c>
      <c r="O105" s="266" t="s">
        <v>307</v>
      </c>
      <c r="P105">
        <v>79.071428571428569</v>
      </c>
      <c r="Q105">
        <v>849</v>
      </c>
      <c r="R105">
        <v>155.33333333333334</v>
      </c>
      <c r="S105">
        <v>45</v>
      </c>
      <c r="T105">
        <v>61.833333333333336</v>
      </c>
    </row>
    <row r="106" spans="2:20">
      <c r="B106" s="156">
        <v>2010</v>
      </c>
      <c r="C106" s="48">
        <v>31.1</v>
      </c>
      <c r="F106" s="156">
        <v>2010</v>
      </c>
      <c r="G106" s="48">
        <f t="shared" si="0"/>
        <v>32.6</v>
      </c>
      <c r="I106" s="266" t="s">
        <v>306</v>
      </c>
      <c r="J106">
        <v>43.133333333333333</v>
      </c>
      <c r="K106">
        <v>112</v>
      </c>
      <c r="L106">
        <v>54.166666666666664</v>
      </c>
      <c r="O106" s="266" t="s">
        <v>306</v>
      </c>
      <c r="P106">
        <v>64.357142857142861</v>
      </c>
      <c r="Q106">
        <v>356</v>
      </c>
      <c r="R106">
        <v>53.166666666666664</v>
      </c>
    </row>
    <row r="107" spans="2:20">
      <c r="B107" s="156">
        <v>2011</v>
      </c>
      <c r="C107" s="48">
        <v>39.5</v>
      </c>
      <c r="F107" s="156">
        <v>2011</v>
      </c>
      <c r="G107" s="48">
        <f t="shared" si="0"/>
        <v>24.7</v>
      </c>
      <c r="I107" s="267" t="s">
        <v>308</v>
      </c>
      <c r="J107">
        <v>37.6</v>
      </c>
      <c r="K107">
        <v>76</v>
      </c>
      <c r="L107">
        <v>39.333333333333336</v>
      </c>
      <c r="O107" s="267" t="s">
        <v>308</v>
      </c>
      <c r="P107">
        <v>44.285714285714285</v>
      </c>
      <c r="Q107">
        <v>123</v>
      </c>
      <c r="R107">
        <v>59.166666666666664</v>
      </c>
    </row>
    <row r="108" spans="2:20">
      <c r="B108" s="156">
        <v>2012</v>
      </c>
      <c r="C108" s="48">
        <v>55.9</v>
      </c>
      <c r="F108" s="156">
        <v>2012</v>
      </c>
      <c r="G108" s="48">
        <f t="shared" si="0"/>
        <v>47</v>
      </c>
      <c r="I108" s="267" t="s">
        <v>944</v>
      </c>
      <c r="J108">
        <v>42</v>
      </c>
      <c r="K108">
        <v>112</v>
      </c>
      <c r="L108">
        <v>60</v>
      </c>
      <c r="O108" s="267" t="s">
        <v>944</v>
      </c>
      <c r="P108">
        <v>29</v>
      </c>
      <c r="Q108">
        <v>54</v>
      </c>
      <c r="R108">
        <v>37.5</v>
      </c>
    </row>
    <row r="109" spans="2:20">
      <c r="B109" s="156">
        <v>2013</v>
      </c>
      <c r="C109" s="48">
        <v>82.4</v>
      </c>
      <c r="F109" s="156">
        <v>2013</v>
      </c>
      <c r="G109" s="48">
        <f t="shared" si="0"/>
        <v>34.6</v>
      </c>
      <c r="I109" s="267" t="s">
        <v>313</v>
      </c>
      <c r="J109">
        <v>68.933333333333337</v>
      </c>
      <c r="K109">
        <v>191</v>
      </c>
      <c r="L109">
        <v>115.66666666666667</v>
      </c>
      <c r="O109" s="267" t="s">
        <v>313</v>
      </c>
      <c r="P109">
        <v>32.928571428571431</v>
      </c>
      <c r="Q109">
        <v>80</v>
      </c>
      <c r="R109">
        <v>51</v>
      </c>
    </row>
    <row r="110" spans="2:20">
      <c r="B110" s="156">
        <v>2014</v>
      </c>
      <c r="C110" s="48">
        <v>25</v>
      </c>
      <c r="F110" s="156">
        <v>2014</v>
      </c>
      <c r="G110" s="48">
        <f t="shared" si="0"/>
        <v>24.15</v>
      </c>
      <c r="I110" s="267" t="s">
        <v>315</v>
      </c>
      <c r="J110">
        <v>55.466666666666669</v>
      </c>
      <c r="K110">
        <v>151.5</v>
      </c>
      <c r="L110">
        <v>87.833333333333329</v>
      </c>
      <c r="O110" s="267" t="s">
        <v>315</v>
      </c>
      <c r="P110">
        <v>57.071428571428569</v>
      </c>
      <c r="Q110">
        <v>111</v>
      </c>
      <c r="R110">
        <v>72.666666666666671</v>
      </c>
    </row>
    <row r="111" spans="2:20" ht="14.5" customHeight="1">
      <c r="B111" s="156">
        <v>2015</v>
      </c>
      <c r="C111" s="48">
        <v>38</v>
      </c>
      <c r="F111" s="156">
        <v>2015</v>
      </c>
      <c r="G111" s="48">
        <f t="shared" si="0"/>
        <v>48.5</v>
      </c>
      <c r="I111" s="563" t="s">
        <v>314</v>
      </c>
      <c r="O111" s="563" t="s">
        <v>314</v>
      </c>
      <c r="P111">
        <v>45</v>
      </c>
      <c r="Q111">
        <v>84.5</v>
      </c>
      <c r="R111">
        <v>61.833333333333336</v>
      </c>
    </row>
    <row r="112" spans="2:20">
      <c r="B112" s="156">
        <v>2016</v>
      </c>
      <c r="C112" s="48">
        <v>39</v>
      </c>
      <c r="F112" s="156">
        <v>2016</v>
      </c>
      <c r="G112" s="48">
        <v>29</v>
      </c>
      <c r="I112" s="15"/>
    </row>
    <row r="113" spans="1:20">
      <c r="B113" s="156">
        <v>2017</v>
      </c>
      <c r="C113" s="48">
        <v>44</v>
      </c>
      <c r="F113" s="156">
        <v>2017</v>
      </c>
      <c r="G113" s="48">
        <v>71</v>
      </c>
      <c r="I113" s="15"/>
    </row>
    <row r="114" spans="1:20">
      <c r="B114" s="156">
        <v>2018</v>
      </c>
      <c r="C114" s="48">
        <v>32</v>
      </c>
      <c r="F114" s="156">
        <v>2018</v>
      </c>
      <c r="G114" s="48">
        <v>36</v>
      </c>
      <c r="I114" s="15"/>
    </row>
    <row r="115" spans="1:20">
      <c r="B115" s="156">
        <v>2019</v>
      </c>
      <c r="C115" s="48">
        <v>48.6</v>
      </c>
      <c r="F115" s="156">
        <v>2019</v>
      </c>
      <c r="G115" s="48">
        <v>35</v>
      </c>
      <c r="I115" s="15"/>
    </row>
    <row r="116" spans="1:20" ht="31.5">
      <c r="A116" s="10" t="s">
        <v>16</v>
      </c>
      <c r="B116" s="156">
        <v>1990</v>
      </c>
      <c r="C116" s="48">
        <f t="shared" ref="C116:C130" si="1">(C3+C33+C54)/3</f>
        <v>124.33333333333333</v>
      </c>
      <c r="E116" s="10" t="s">
        <v>51</v>
      </c>
      <c r="F116" s="156">
        <v>1990</v>
      </c>
      <c r="G116" s="48">
        <f t="shared" ref="G116:G145" si="2">+G86-C86</f>
        <v>307.5</v>
      </c>
      <c r="I116" s="15"/>
      <c r="J116" s="243" t="s">
        <v>84</v>
      </c>
      <c r="K116" s="243" t="s">
        <v>76</v>
      </c>
      <c r="L116" s="243" t="s">
        <v>85</v>
      </c>
      <c r="M116" s="243" t="s">
        <v>86</v>
      </c>
      <c r="N116" s="243" t="s">
        <v>87</v>
      </c>
      <c r="O116" s="4">
        <v>2018</v>
      </c>
      <c r="P116" s="243" t="s">
        <v>84</v>
      </c>
      <c r="Q116" s="243" t="s">
        <v>76</v>
      </c>
      <c r="R116" s="243" t="s">
        <v>85</v>
      </c>
      <c r="S116" s="243" t="s">
        <v>86</v>
      </c>
      <c r="T116" s="243" t="s">
        <v>87</v>
      </c>
    </row>
    <row r="117" spans="1:20">
      <c r="B117" s="156">
        <v>1991</v>
      </c>
      <c r="C117" s="48">
        <f t="shared" si="1"/>
        <v>183.73333333333335</v>
      </c>
      <c r="E117" s="12"/>
      <c r="F117" s="156">
        <v>1991</v>
      </c>
      <c r="G117" s="48">
        <f t="shared" si="2"/>
        <v>144</v>
      </c>
      <c r="I117" s="266" t="s">
        <v>307</v>
      </c>
      <c r="J117">
        <v>24.533333333333335</v>
      </c>
      <c r="K117">
        <v>90</v>
      </c>
      <c r="L117">
        <v>19</v>
      </c>
      <c r="M117">
        <v>64.551724137931032</v>
      </c>
      <c r="N117">
        <v>95.083333333333329</v>
      </c>
      <c r="O117" s="266" t="s">
        <v>307</v>
      </c>
      <c r="P117">
        <v>23.642857142857142</v>
      </c>
      <c r="Q117">
        <v>87</v>
      </c>
      <c r="R117">
        <v>31.833333333333332</v>
      </c>
      <c r="S117">
        <v>44.642857142857146</v>
      </c>
      <c r="T117">
        <v>61.833333333333336</v>
      </c>
    </row>
    <row r="118" spans="1:20">
      <c r="B118" s="156">
        <v>1992</v>
      </c>
      <c r="C118" s="48">
        <f t="shared" si="1"/>
        <v>162.40476666666666</v>
      </c>
      <c r="E118" s="12"/>
      <c r="F118" s="156">
        <v>1992</v>
      </c>
      <c r="G118" s="48">
        <f t="shared" si="2"/>
        <v>162.5</v>
      </c>
      <c r="I118" s="266" t="s">
        <v>306</v>
      </c>
      <c r="J118">
        <v>33.266666666666666</v>
      </c>
      <c r="K118">
        <v>104</v>
      </c>
      <c r="L118">
        <v>37.166666666666664</v>
      </c>
      <c r="O118" s="266" t="s">
        <v>306</v>
      </c>
      <c r="P118">
        <v>48.5</v>
      </c>
      <c r="Q118">
        <v>110</v>
      </c>
      <c r="R118">
        <v>55.166666666666664</v>
      </c>
    </row>
    <row r="119" spans="1:20">
      <c r="B119" s="156">
        <v>1993</v>
      </c>
      <c r="C119" s="48">
        <f t="shared" si="1"/>
        <v>193</v>
      </c>
      <c r="E119" s="12"/>
      <c r="F119" s="156">
        <v>1993</v>
      </c>
      <c r="G119" s="48">
        <f t="shared" si="2"/>
        <v>65.5</v>
      </c>
      <c r="I119" s="267" t="s">
        <v>308</v>
      </c>
      <c r="J119">
        <v>38.733333333333334</v>
      </c>
      <c r="K119">
        <v>97</v>
      </c>
      <c r="L119">
        <v>57.333333333333336</v>
      </c>
      <c r="O119" s="267" t="s">
        <v>308</v>
      </c>
      <c r="P119">
        <v>32.142857142857146</v>
      </c>
      <c r="Q119">
        <v>62</v>
      </c>
      <c r="R119">
        <v>41.5</v>
      </c>
    </row>
    <row r="120" spans="1:20">
      <c r="B120" s="156">
        <v>1994</v>
      </c>
      <c r="C120" s="48">
        <f t="shared" si="1"/>
        <v>87.333333333333329</v>
      </c>
      <c r="E120" s="12"/>
      <c r="F120" s="156">
        <v>1994</v>
      </c>
      <c r="G120" s="48">
        <f t="shared" si="2"/>
        <v>14.5</v>
      </c>
      <c r="I120" s="267" t="s">
        <v>944</v>
      </c>
      <c r="J120">
        <v>39.200000000000003</v>
      </c>
      <c r="K120">
        <v>102</v>
      </c>
      <c r="L120">
        <v>36.166666666666664</v>
      </c>
      <c r="O120" s="267" t="s">
        <v>944</v>
      </c>
      <c r="P120">
        <v>25.5</v>
      </c>
      <c r="Q120">
        <v>46</v>
      </c>
      <c r="R120">
        <v>25.833333333333332</v>
      </c>
    </row>
    <row r="121" spans="1:20">
      <c r="B121" s="156">
        <v>1995</v>
      </c>
      <c r="C121" s="48">
        <f t="shared" si="1"/>
        <v>41</v>
      </c>
      <c r="E121" s="12"/>
      <c r="F121" s="156">
        <v>1995</v>
      </c>
      <c r="G121" s="48">
        <f t="shared" si="2"/>
        <v>24</v>
      </c>
      <c r="I121" s="267" t="s">
        <v>313</v>
      </c>
      <c r="J121">
        <v>38.200000000000003</v>
      </c>
      <c r="K121">
        <v>70</v>
      </c>
      <c r="L121">
        <v>56.666666666666664</v>
      </c>
      <c r="O121" s="267" t="s">
        <v>313</v>
      </c>
      <c r="P121">
        <v>41.428571428571431</v>
      </c>
      <c r="Q121">
        <v>94</v>
      </c>
      <c r="R121">
        <v>56.5</v>
      </c>
    </row>
    <row r="122" spans="1:20">
      <c r="B122" s="156">
        <v>1996</v>
      </c>
      <c r="C122" s="48">
        <f t="shared" si="1"/>
        <v>42.895833333333336</v>
      </c>
      <c r="E122" s="12"/>
      <c r="F122" s="156">
        <v>1996</v>
      </c>
      <c r="G122" s="48">
        <f t="shared" si="2"/>
        <v>2.34375</v>
      </c>
      <c r="I122" s="267" t="s">
        <v>315</v>
      </c>
      <c r="J122">
        <v>92.785714285714292</v>
      </c>
      <c r="K122">
        <v>422</v>
      </c>
      <c r="L122">
        <v>133.5</v>
      </c>
      <c r="O122" s="267" t="s">
        <v>315</v>
      </c>
      <c r="P122">
        <v>47.857142857142854</v>
      </c>
      <c r="Q122">
        <v>83</v>
      </c>
      <c r="R122">
        <v>67.166666666666671</v>
      </c>
    </row>
    <row r="123" spans="1:20" ht="21">
      <c r="B123" s="156">
        <v>1997</v>
      </c>
      <c r="C123" s="48">
        <f t="shared" si="1"/>
        <v>56.052465322207688</v>
      </c>
      <c r="E123" s="12"/>
      <c r="F123" s="156">
        <v>1997</v>
      </c>
      <c r="G123" s="48">
        <f t="shared" si="2"/>
        <v>32.546519746997504</v>
      </c>
      <c r="I123" s="563" t="s">
        <v>314</v>
      </c>
      <c r="J123">
        <v>63.06666666666667</v>
      </c>
      <c r="K123">
        <v>233</v>
      </c>
      <c r="L123">
        <v>95.083333333333329</v>
      </c>
      <c r="O123" s="563" t="s">
        <v>314</v>
      </c>
      <c r="P123">
        <v>44.642857142857146</v>
      </c>
      <c r="Q123">
        <v>82.5</v>
      </c>
      <c r="R123">
        <v>61.833333333333336</v>
      </c>
    </row>
    <row r="124" spans="1:20">
      <c r="B124" s="156">
        <v>1998</v>
      </c>
      <c r="C124" s="48">
        <f t="shared" si="1"/>
        <v>47.433333333333337</v>
      </c>
      <c r="E124" s="12"/>
      <c r="F124" s="156">
        <v>1998</v>
      </c>
      <c r="G124" s="48">
        <f t="shared" si="2"/>
        <v>2.3999999999999986</v>
      </c>
      <c r="I124" s="15"/>
    </row>
    <row r="125" spans="1:20" ht="34.5">
      <c r="B125" s="156">
        <v>1999</v>
      </c>
      <c r="C125" s="48">
        <f t="shared" si="1"/>
        <v>41.666666666666664</v>
      </c>
      <c r="E125" s="12"/>
      <c r="F125" s="156">
        <v>1999</v>
      </c>
      <c r="G125" s="48">
        <f t="shared" si="2"/>
        <v>7.5</v>
      </c>
      <c r="I125" s="1778">
        <v>2019</v>
      </c>
      <c r="J125" s="1771" t="s">
        <v>84</v>
      </c>
      <c r="K125" s="1771" t="s">
        <v>76</v>
      </c>
      <c r="L125" s="1771" t="s">
        <v>85</v>
      </c>
      <c r="M125" s="551" t="s">
        <v>86</v>
      </c>
      <c r="N125" s="551" t="s">
        <v>87</v>
      </c>
      <c r="P125">
        <f>AVERAGE(P117:P118)</f>
        <v>36.071428571428569</v>
      </c>
    </row>
    <row r="126" spans="1:20">
      <c r="B126" s="156">
        <v>2000</v>
      </c>
      <c r="C126" s="48">
        <f t="shared" si="1"/>
        <v>57.333333333333336</v>
      </c>
      <c r="E126" s="12"/>
      <c r="F126" s="156">
        <v>2000</v>
      </c>
      <c r="G126" s="48">
        <f t="shared" si="2"/>
        <v>-30</v>
      </c>
      <c r="I126" s="266" t="s">
        <v>307</v>
      </c>
      <c r="J126" s="1772">
        <v>29.714285714285715</v>
      </c>
      <c r="K126" s="1772">
        <v>135</v>
      </c>
      <c r="L126" s="1772">
        <v>39.5</v>
      </c>
      <c r="M126" s="1773">
        <v>65.107142857142861</v>
      </c>
      <c r="N126" s="1773">
        <v>89.583333333333329</v>
      </c>
    </row>
    <row r="127" spans="1:20">
      <c r="B127" s="156">
        <v>2001</v>
      </c>
      <c r="C127" s="48">
        <f t="shared" si="1"/>
        <v>49.333333333333336</v>
      </c>
      <c r="E127" s="12"/>
      <c r="F127" s="156">
        <v>2001</v>
      </c>
      <c r="G127" s="48">
        <f t="shared" si="2"/>
        <v>-24</v>
      </c>
      <c r="I127" s="266" t="s">
        <v>306</v>
      </c>
      <c r="J127" s="1772">
        <v>41.214285714285715</v>
      </c>
      <c r="K127" s="1772">
        <v>121</v>
      </c>
      <c r="L127" s="1772">
        <v>61.166666666666664</v>
      </c>
      <c r="M127" s="1774"/>
      <c r="N127" s="1774"/>
    </row>
    <row r="128" spans="1:20">
      <c r="B128" s="156">
        <v>2002</v>
      </c>
      <c r="C128" s="48">
        <f t="shared" si="1"/>
        <v>50.199999999999996</v>
      </c>
      <c r="E128" s="12"/>
      <c r="F128" s="156">
        <v>2002</v>
      </c>
      <c r="G128" s="48">
        <f t="shared" si="2"/>
        <v>29.20000000000001</v>
      </c>
      <c r="I128" s="267" t="s">
        <v>308</v>
      </c>
      <c r="J128" s="1772">
        <v>36.428571428571431</v>
      </c>
      <c r="K128" s="1772">
        <v>55</v>
      </c>
      <c r="L128" s="1772">
        <v>39</v>
      </c>
      <c r="M128" s="1774"/>
      <c r="N128" s="1774"/>
    </row>
    <row r="129" spans="2:14">
      <c r="B129" s="156">
        <v>2003</v>
      </c>
      <c r="C129" s="48">
        <f t="shared" si="1"/>
        <v>49.533333333333331</v>
      </c>
      <c r="F129" s="156">
        <v>2003</v>
      </c>
      <c r="G129" s="48">
        <f t="shared" si="2"/>
        <v>4.6500000000000057</v>
      </c>
      <c r="I129" s="267" t="s">
        <v>944</v>
      </c>
      <c r="J129" s="1772">
        <v>48.642857142857146</v>
      </c>
      <c r="K129" s="1772">
        <v>111</v>
      </c>
      <c r="L129" s="1772">
        <v>69.5</v>
      </c>
      <c r="M129" s="1774"/>
      <c r="N129" s="1774"/>
    </row>
    <row r="130" spans="2:14">
      <c r="B130" s="156">
        <v>2004</v>
      </c>
      <c r="C130" s="48">
        <f t="shared" si="1"/>
        <v>31.833333333333329</v>
      </c>
      <c r="F130" s="156">
        <v>2004</v>
      </c>
      <c r="G130" s="48">
        <f t="shared" si="2"/>
        <v>-2.2000000000000028</v>
      </c>
      <c r="I130" s="267" t="s">
        <v>313</v>
      </c>
      <c r="J130" s="1772">
        <v>38.714285714285715</v>
      </c>
      <c r="K130" s="1772">
        <v>79</v>
      </c>
      <c r="L130" s="1772">
        <v>33.833333333333336</v>
      </c>
      <c r="M130" s="1774"/>
      <c r="N130" s="1774"/>
    </row>
    <row r="131" spans="2:14">
      <c r="B131" s="156">
        <v>2005</v>
      </c>
      <c r="C131" s="48">
        <v>39</v>
      </c>
      <c r="F131" s="156">
        <v>2005</v>
      </c>
      <c r="G131" s="48">
        <f t="shared" si="2"/>
        <v>1.5</v>
      </c>
      <c r="I131" s="267" t="s">
        <v>315</v>
      </c>
      <c r="J131" s="1772">
        <v>91.5</v>
      </c>
      <c r="K131" s="1772">
        <v>543</v>
      </c>
      <c r="L131" s="1772">
        <v>145.33333333333334</v>
      </c>
      <c r="M131" s="1774"/>
      <c r="N131" s="1774"/>
    </row>
    <row r="132" spans="2:14" ht="21">
      <c r="B132" s="156">
        <v>2006</v>
      </c>
      <c r="C132" s="12">
        <v>24</v>
      </c>
      <c r="F132" s="156">
        <v>2006</v>
      </c>
      <c r="G132" s="48">
        <f t="shared" si="2"/>
        <v>-8.3500000000000014</v>
      </c>
      <c r="I132" s="563" t="s">
        <v>314</v>
      </c>
      <c r="J132" s="1772">
        <v>65.107142857142861</v>
      </c>
      <c r="K132" s="1772">
        <v>283</v>
      </c>
      <c r="L132" s="1772">
        <v>89.583333333333329</v>
      </c>
      <c r="M132" s="464"/>
      <c r="N132" s="464"/>
    </row>
    <row r="133" spans="2:14">
      <c r="B133" s="156">
        <v>2007</v>
      </c>
      <c r="C133" s="12">
        <v>30.7</v>
      </c>
      <c r="F133" s="156">
        <v>2007</v>
      </c>
      <c r="G133" s="48">
        <f t="shared" si="2"/>
        <v>1</v>
      </c>
      <c r="I133" s="15"/>
    </row>
    <row r="134" spans="2:14">
      <c r="B134" s="156">
        <v>2008</v>
      </c>
      <c r="C134" s="48">
        <v>50.6</v>
      </c>
      <c r="F134" s="156">
        <v>2008</v>
      </c>
      <c r="G134" s="48">
        <f t="shared" si="2"/>
        <v>-2.75</v>
      </c>
      <c r="I134" s="15" t="s">
        <v>1691</v>
      </c>
      <c r="J134">
        <f>AVERAGE(J126:J127)</f>
        <v>35.464285714285715</v>
      </c>
    </row>
    <row r="135" spans="2:14">
      <c r="B135" s="156">
        <v>2009</v>
      </c>
      <c r="C135" s="48">
        <v>34.799999999999997</v>
      </c>
      <c r="F135" s="156">
        <v>2009</v>
      </c>
      <c r="G135" s="48">
        <f t="shared" si="2"/>
        <v>3.1000000000000014</v>
      </c>
      <c r="I135" s="15"/>
    </row>
    <row r="136" spans="2:14">
      <c r="B136" s="156">
        <v>2010</v>
      </c>
      <c r="C136" s="48">
        <v>33.6</v>
      </c>
      <c r="F136" s="156">
        <v>2010</v>
      </c>
      <c r="G136" s="48">
        <f t="shared" si="2"/>
        <v>1.5</v>
      </c>
      <c r="I136" s="15"/>
    </row>
    <row r="137" spans="2:14">
      <c r="B137" s="156">
        <v>2011</v>
      </c>
      <c r="C137" s="48">
        <v>40.799999999999997</v>
      </c>
      <c r="F137" s="156">
        <v>2011</v>
      </c>
      <c r="G137" s="48">
        <f t="shared" si="2"/>
        <v>-14.8</v>
      </c>
      <c r="I137" s="15"/>
    </row>
    <row r="138" spans="2:14">
      <c r="B138" s="156">
        <v>2012</v>
      </c>
      <c r="C138" s="48">
        <v>69.8</v>
      </c>
      <c r="F138" s="156">
        <v>2012</v>
      </c>
      <c r="G138" s="48">
        <f t="shared" si="2"/>
        <v>-8.8999999999999986</v>
      </c>
      <c r="I138" s="15"/>
    </row>
    <row r="139" spans="2:14">
      <c r="B139" s="156">
        <v>2013</v>
      </c>
      <c r="C139" s="48">
        <v>65.599999999999994</v>
      </c>
      <c r="F139" s="156">
        <v>2013</v>
      </c>
      <c r="G139" s="48">
        <f t="shared" si="2"/>
        <v>-47.800000000000004</v>
      </c>
      <c r="I139" s="15"/>
    </row>
    <row r="140" spans="2:14">
      <c r="B140" s="156">
        <v>2014</v>
      </c>
      <c r="C140" s="12">
        <v>30.5</v>
      </c>
      <c r="F140" s="156">
        <v>2014</v>
      </c>
      <c r="G140" s="48">
        <f t="shared" si="2"/>
        <v>-0.85000000000000142</v>
      </c>
      <c r="I140" s="15"/>
    </row>
    <row r="141" spans="2:14">
      <c r="B141" s="156">
        <v>2015</v>
      </c>
      <c r="C141" s="12">
        <v>55</v>
      </c>
      <c r="F141" s="263">
        <v>2015</v>
      </c>
      <c r="G141" s="48">
        <f t="shared" si="2"/>
        <v>10.5</v>
      </c>
      <c r="I141" s="15"/>
    </row>
    <row r="142" spans="2:14">
      <c r="B142" s="1055">
        <v>2016</v>
      </c>
      <c r="C142" s="12">
        <v>63</v>
      </c>
      <c r="F142" s="263">
        <v>2016</v>
      </c>
      <c r="G142" s="48">
        <f t="shared" si="2"/>
        <v>-10</v>
      </c>
      <c r="I142" s="15"/>
    </row>
    <row r="143" spans="2:14">
      <c r="B143" s="1055">
        <v>2017</v>
      </c>
      <c r="C143" s="12">
        <v>45</v>
      </c>
      <c r="F143" s="263">
        <v>2017</v>
      </c>
      <c r="G143" s="48">
        <f t="shared" si="2"/>
        <v>27</v>
      </c>
      <c r="I143" s="15"/>
    </row>
    <row r="144" spans="2:14">
      <c r="B144" s="1055">
        <v>2018</v>
      </c>
      <c r="C144" s="12">
        <v>45</v>
      </c>
      <c r="F144" s="263">
        <v>2018</v>
      </c>
      <c r="G144" s="48">
        <f t="shared" si="2"/>
        <v>4</v>
      </c>
      <c r="I144" s="15"/>
    </row>
    <row r="145" spans="2:9">
      <c r="B145" s="1055">
        <v>2019</v>
      </c>
      <c r="C145" s="12">
        <v>65.099999999999994</v>
      </c>
      <c r="F145" s="1775">
        <v>2019</v>
      </c>
      <c r="G145" s="48">
        <f t="shared" si="2"/>
        <v>-13.600000000000001</v>
      </c>
      <c r="I145" s="15"/>
    </row>
    <row r="146" spans="2:9">
      <c r="I146" s="15"/>
    </row>
    <row r="147" spans="2:9">
      <c r="I147" s="15"/>
    </row>
    <row r="148" spans="2:9">
      <c r="I148" s="15"/>
    </row>
    <row r="149" spans="2:9">
      <c r="I149" s="15"/>
    </row>
    <row r="150" spans="2:9">
      <c r="I150" s="15"/>
    </row>
    <row r="151" spans="2:9">
      <c r="I151" s="15"/>
    </row>
    <row r="152" spans="2:9">
      <c r="I152" s="15"/>
    </row>
    <row r="153" spans="2:9">
      <c r="I153" s="15"/>
    </row>
    <row r="154" spans="2:9">
      <c r="I154" s="15"/>
    </row>
    <row r="155" spans="2:9">
      <c r="I155" s="15"/>
    </row>
    <row r="156" spans="2:9">
      <c r="I156" s="15"/>
    </row>
    <row r="157" spans="2:9">
      <c r="I157" s="15"/>
    </row>
    <row r="158" spans="2:9">
      <c r="I158" s="15"/>
    </row>
    <row r="159" spans="2:9">
      <c r="I159" s="15"/>
    </row>
    <row r="160" spans="2:9">
      <c r="I160" s="15"/>
    </row>
    <row r="161" spans="9:9">
      <c r="I161" s="15"/>
    </row>
    <row r="162" spans="9:9">
      <c r="I162" s="15"/>
    </row>
    <row r="163" spans="9:9">
      <c r="I163" s="15"/>
    </row>
    <row r="164" spans="9:9">
      <c r="I164" s="15"/>
    </row>
    <row r="165" spans="9:9">
      <c r="I165" s="15"/>
    </row>
    <row r="166" spans="9:9">
      <c r="I166" s="15"/>
    </row>
    <row r="167" spans="9:9">
      <c r="I167" s="15"/>
    </row>
    <row r="168" spans="9:9">
      <c r="I168" s="15"/>
    </row>
    <row r="169" spans="9:9">
      <c r="I169" s="15"/>
    </row>
    <row r="170" spans="9:9">
      <c r="I170" s="15"/>
    </row>
    <row r="171" spans="9:9">
      <c r="I171" s="15"/>
    </row>
    <row r="172" spans="9:9">
      <c r="I172" s="15"/>
    </row>
    <row r="173" spans="9:9">
      <c r="I173" s="15"/>
    </row>
    <row r="174" spans="9:9">
      <c r="I174" s="15"/>
    </row>
    <row r="175" spans="9:9">
      <c r="I175" s="15"/>
    </row>
    <row r="176" spans="9:9">
      <c r="I176" s="15"/>
    </row>
    <row r="177" spans="3:9">
      <c r="I177" s="15"/>
    </row>
    <row r="178" spans="3:9">
      <c r="I178" s="15"/>
    </row>
    <row r="179" spans="3:9">
      <c r="I179" s="15"/>
    </row>
    <row r="180" spans="3:9">
      <c r="C180" s="47"/>
      <c r="I180" s="15"/>
    </row>
    <row r="181" spans="3:9">
      <c r="C181" s="47"/>
      <c r="I181" s="15"/>
    </row>
    <row r="182" spans="3:9">
      <c r="C182" s="47"/>
      <c r="I182" s="15"/>
    </row>
    <row r="183" spans="3:9">
      <c r="C183" s="47"/>
      <c r="I183" s="15"/>
    </row>
    <row r="184" spans="3:9">
      <c r="C184" s="47"/>
      <c r="I184" s="15"/>
    </row>
    <row r="185" spans="3:9">
      <c r="C185" s="47"/>
      <c r="I185" s="15"/>
    </row>
  </sheetData>
  <mergeCells count="2">
    <mergeCell ref="A1:G1"/>
    <mergeCell ref="A84:G84"/>
  </mergeCells>
  <phoneticPr fontId="11" type="noConversion"/>
  <pageMargins left="0.75" right="0.75" top="1" bottom="1" header="0.5" footer="0.5"/>
  <pageSetup orientation="portrait" horizontalDpi="0" verticalDpi="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  <pageSetUpPr fitToPage="1"/>
  </sheetPr>
  <dimension ref="A1:AE147"/>
  <sheetViews>
    <sheetView zoomScaleNormal="100" workbookViewId="0">
      <selection activeCell="E2" sqref="E2"/>
    </sheetView>
  </sheetViews>
  <sheetFormatPr defaultColWidth="9.08984375" defaultRowHeight="14.25" customHeight="1"/>
  <cols>
    <col min="1" max="1" width="16.6328125" style="793" bestFit="1" customWidth="1"/>
    <col min="2" max="2" width="9.36328125" style="793" customWidth="1"/>
    <col min="3" max="3" width="10.6328125" style="793" customWidth="1"/>
    <col min="4" max="4" width="9.6328125" style="793" customWidth="1"/>
    <col min="5" max="5" width="10.6328125" style="793" customWidth="1"/>
    <col min="6" max="6" width="8.6328125" style="793" customWidth="1"/>
    <col min="7" max="7" width="10.26953125" style="793" bestFit="1" customWidth="1"/>
    <col min="8" max="8" width="9.7265625" style="793" bestFit="1" customWidth="1"/>
    <col min="9" max="9" width="10.90625" style="793" customWidth="1"/>
    <col min="10" max="10" width="18.453125" style="793" customWidth="1"/>
    <col min="11" max="11" width="3" style="793" bestFit="1" customWidth="1"/>
    <col min="12" max="12" width="9.08984375" style="793"/>
    <col min="13" max="13" width="19.36328125" style="793" customWidth="1"/>
    <col min="14" max="14" width="10.08984375" style="793" bestFit="1" customWidth="1"/>
    <col min="15" max="16" width="9.08984375" style="793"/>
    <col min="17" max="17" width="11.453125" style="793" customWidth="1"/>
    <col min="18" max="18" width="9.08984375" style="793"/>
    <col min="19" max="19" width="13.54296875" style="793" bestFit="1" customWidth="1"/>
    <col min="20" max="20" width="11.36328125" style="793" customWidth="1"/>
    <col min="21" max="21" width="9.08984375" style="793"/>
    <col min="22" max="22" width="3" style="793" bestFit="1" customWidth="1"/>
    <col min="23" max="16384" width="9.08984375" style="793"/>
  </cols>
  <sheetData>
    <row r="1" spans="1:31" ht="14.25" customHeight="1">
      <c r="A1" s="2253" t="s">
        <v>1688</v>
      </c>
      <c r="B1" s="2562"/>
      <c r="C1" s="2562"/>
      <c r="D1" s="2562"/>
      <c r="E1" s="2562"/>
      <c r="F1" s="2562"/>
      <c r="G1" s="2562"/>
      <c r="W1" s="2568" t="s">
        <v>709</v>
      </c>
      <c r="X1" s="2568"/>
      <c r="Y1" s="2568"/>
    </row>
    <row r="2" spans="1:31" ht="14.25" customHeight="1">
      <c r="A2" s="794" t="s">
        <v>132</v>
      </c>
      <c r="B2" s="795">
        <v>43843</v>
      </c>
      <c r="C2" s="795"/>
      <c r="M2" s="796" t="s">
        <v>132</v>
      </c>
      <c r="N2" s="797">
        <v>43747</v>
      </c>
      <c r="O2" s="798"/>
      <c r="P2" s="2571"/>
      <c r="Q2" s="2571"/>
      <c r="R2" s="798"/>
      <c r="S2" s="798"/>
      <c r="T2" s="798"/>
      <c r="W2" s="799" t="s">
        <v>708</v>
      </c>
      <c r="X2" s="2569"/>
      <c r="Y2" s="2569"/>
      <c r="Z2" s="2569"/>
      <c r="AA2" s="799" t="s">
        <v>577</v>
      </c>
      <c r="AB2" s="2569"/>
      <c r="AC2" s="2569"/>
      <c r="AD2" s="2569"/>
      <c r="AE2" s="2569"/>
    </row>
    <row r="3" spans="1:31" ht="14.25" customHeight="1">
      <c r="A3" s="800" t="s">
        <v>9</v>
      </c>
      <c r="B3" s="800" t="s">
        <v>134</v>
      </c>
      <c r="C3" s="800" t="s">
        <v>135</v>
      </c>
      <c r="D3" s="800" t="s">
        <v>136</v>
      </c>
      <c r="E3" s="55" t="s">
        <v>138</v>
      </c>
      <c r="F3" s="55" t="s">
        <v>1399</v>
      </c>
      <c r="G3" s="800" t="s">
        <v>888</v>
      </c>
      <c r="H3" s="800"/>
      <c r="M3" s="801" t="s">
        <v>248</v>
      </c>
      <c r="N3" s="802" t="s">
        <v>134</v>
      </c>
      <c r="O3" s="802" t="s">
        <v>135</v>
      </c>
      <c r="P3" s="802" t="s">
        <v>136</v>
      </c>
      <c r="Q3" s="802" t="s">
        <v>137</v>
      </c>
      <c r="R3" s="802" t="s">
        <v>138</v>
      </c>
      <c r="S3" s="801" t="s">
        <v>148</v>
      </c>
      <c r="T3" s="801" t="s">
        <v>156</v>
      </c>
      <c r="W3" s="799" t="s">
        <v>707</v>
      </c>
      <c r="X3" s="799" t="s">
        <v>707</v>
      </c>
      <c r="Y3" s="799" t="s">
        <v>707</v>
      </c>
      <c r="Z3" s="799" t="s">
        <v>707</v>
      </c>
      <c r="AA3" s="799" t="s">
        <v>707</v>
      </c>
      <c r="AB3" s="799" t="s">
        <v>707</v>
      </c>
      <c r="AC3" s="799" t="s">
        <v>707</v>
      </c>
      <c r="AD3" s="799" t="s">
        <v>707</v>
      </c>
      <c r="AE3" s="799" t="s">
        <v>707</v>
      </c>
    </row>
    <row r="4" spans="1:31" ht="14.25" customHeight="1">
      <c r="A4" s="55" t="s">
        <v>1403</v>
      </c>
      <c r="B4" s="803"/>
      <c r="C4" s="803"/>
      <c r="D4" s="804"/>
      <c r="E4" s="804"/>
      <c r="F4" s="804"/>
      <c r="G4" s="799"/>
      <c r="H4" s="118" t="s">
        <v>1406</v>
      </c>
      <c r="M4" s="805" t="s">
        <v>235</v>
      </c>
      <c r="N4" s="806"/>
      <c r="O4" s="807"/>
      <c r="P4" s="808"/>
      <c r="Q4" s="808"/>
      <c r="R4" s="809"/>
      <c r="S4" s="810"/>
      <c r="T4" s="810"/>
      <c r="V4" s="799">
        <v>1</v>
      </c>
      <c r="W4" s="799"/>
      <c r="X4" s="799"/>
      <c r="Y4" s="799"/>
      <c r="Z4" s="799"/>
      <c r="AA4" s="799"/>
      <c r="AB4" s="799"/>
      <c r="AC4" s="799"/>
      <c r="AD4" s="799"/>
      <c r="AE4" s="799"/>
    </row>
    <row r="5" spans="1:31" ht="14.25" customHeight="1">
      <c r="A5" s="800" t="s">
        <v>170</v>
      </c>
      <c r="B5" s="1364"/>
      <c r="C5" s="803"/>
      <c r="D5" s="804"/>
      <c r="E5" s="804"/>
      <c r="F5" s="804"/>
      <c r="G5" s="799"/>
      <c r="H5" s="799"/>
      <c r="M5" s="805" t="s">
        <v>139</v>
      </c>
      <c r="N5" s="806"/>
      <c r="O5" s="807"/>
      <c r="P5" s="808"/>
      <c r="Q5" s="808"/>
      <c r="R5" s="809"/>
      <c r="S5" s="798"/>
      <c r="T5" s="798"/>
      <c r="V5" s="799"/>
      <c r="W5" s="799"/>
      <c r="X5" s="799"/>
      <c r="Y5" s="799"/>
      <c r="Z5" s="799"/>
      <c r="AA5" s="799"/>
      <c r="AB5" s="799"/>
      <c r="AC5" s="799"/>
      <c r="AD5" s="799"/>
      <c r="AE5" s="799"/>
    </row>
    <row r="6" spans="1:31" ht="14.25" customHeight="1">
      <c r="A6" s="800" t="s">
        <v>171</v>
      </c>
      <c r="B6" s="803"/>
      <c r="C6" s="803"/>
      <c r="D6" s="804"/>
      <c r="E6" s="804"/>
      <c r="F6" s="804"/>
      <c r="G6" s="799"/>
      <c r="H6" s="804"/>
      <c r="M6" s="805" t="s">
        <v>236</v>
      </c>
      <c r="N6" s="810"/>
      <c r="O6" s="807"/>
      <c r="P6" s="808"/>
      <c r="Q6" s="808"/>
      <c r="R6" s="809"/>
      <c r="S6" s="798"/>
      <c r="T6" s="811" t="s">
        <v>249</v>
      </c>
      <c r="V6" s="799">
        <v>2</v>
      </c>
      <c r="W6" s="799"/>
      <c r="X6" s="799"/>
      <c r="Y6" s="799"/>
      <c r="Z6" s="799"/>
      <c r="AA6" s="799"/>
      <c r="AB6" s="799"/>
      <c r="AC6" s="799"/>
      <c r="AD6" s="799"/>
      <c r="AE6" s="799"/>
    </row>
    <row r="7" spans="1:31" ht="14.25" customHeight="1">
      <c r="A7" s="800" t="s">
        <v>172</v>
      </c>
      <c r="B7" s="803"/>
      <c r="C7" s="803"/>
      <c r="D7" s="804"/>
      <c r="E7" s="804"/>
      <c r="F7" s="804"/>
      <c r="G7" s="799"/>
      <c r="H7" s="804"/>
      <c r="M7" s="805" t="s">
        <v>140</v>
      </c>
      <c r="N7" s="810"/>
      <c r="O7" s="807"/>
      <c r="P7" s="808"/>
      <c r="Q7" s="808"/>
      <c r="R7" s="809"/>
      <c r="S7" s="798"/>
      <c r="T7" s="811" t="s">
        <v>242</v>
      </c>
      <c r="V7" s="799">
        <v>3</v>
      </c>
      <c r="W7" s="799"/>
      <c r="X7" s="799"/>
      <c r="Y7" s="799"/>
      <c r="Z7" s="799"/>
      <c r="AA7" s="799"/>
      <c r="AB7" s="799"/>
      <c r="AC7" s="799"/>
      <c r="AD7" s="799"/>
      <c r="AE7" s="799"/>
    </row>
    <row r="8" spans="1:31" ht="14.25" customHeight="1">
      <c r="A8" s="800" t="s">
        <v>847</v>
      </c>
      <c r="B8" s="803"/>
      <c r="C8" s="803"/>
      <c r="D8" s="804"/>
      <c r="E8" s="804"/>
      <c r="F8" s="804"/>
      <c r="G8" s="799"/>
      <c r="H8" s="804"/>
      <c r="M8" s="805" t="s">
        <v>237</v>
      </c>
      <c r="N8" s="810"/>
      <c r="O8" s="807"/>
      <c r="P8" s="808"/>
      <c r="Q8" s="808"/>
      <c r="R8" s="809"/>
      <c r="S8" s="798"/>
      <c r="T8" s="811"/>
      <c r="V8" s="799"/>
      <c r="W8" s="799"/>
      <c r="X8" s="799"/>
      <c r="Y8" s="799"/>
      <c r="Z8" s="799"/>
      <c r="AA8" s="799"/>
      <c r="AB8" s="799"/>
      <c r="AC8" s="799"/>
      <c r="AD8" s="799"/>
      <c r="AE8" s="799"/>
    </row>
    <row r="9" spans="1:31" s="1390" customFormat="1" ht="14.25" customHeight="1">
      <c r="A9" s="55" t="s">
        <v>1687</v>
      </c>
      <c r="B9" s="1738"/>
      <c r="C9" s="803"/>
      <c r="D9" s="1739"/>
      <c r="E9" s="804"/>
      <c r="F9" s="1739"/>
      <c r="G9" s="799"/>
      <c r="H9" s="804"/>
      <c r="M9" s="805"/>
      <c r="N9" s="810"/>
      <c r="O9" s="807"/>
      <c r="P9" s="808"/>
      <c r="Q9" s="808"/>
      <c r="R9" s="809"/>
      <c r="S9" s="798"/>
      <c r="T9" s="811"/>
      <c r="V9" s="799"/>
      <c r="W9" s="799"/>
      <c r="X9" s="799"/>
      <c r="Y9" s="799"/>
      <c r="Z9" s="799"/>
      <c r="AA9" s="799"/>
      <c r="AB9" s="799"/>
      <c r="AC9" s="799"/>
      <c r="AD9" s="799"/>
      <c r="AE9" s="799"/>
    </row>
    <row r="10" spans="1:31" ht="14.25" customHeight="1">
      <c r="A10" s="812" t="s">
        <v>167</v>
      </c>
      <c r="B10" s="813" t="s">
        <v>173</v>
      </c>
      <c r="C10" s="800"/>
      <c r="D10" s="814"/>
      <c r="E10" s="815">
        <v>5764</v>
      </c>
      <c r="F10" s="814"/>
      <c r="G10" s="800" t="s">
        <v>148</v>
      </c>
      <c r="H10" s="816" t="s">
        <v>156</v>
      </c>
      <c r="M10" s="805" t="s">
        <v>141</v>
      </c>
      <c r="N10" s="810"/>
      <c r="O10" s="807"/>
      <c r="P10" s="808"/>
      <c r="Q10" s="808"/>
      <c r="R10" s="809"/>
      <c r="S10" s="798"/>
      <c r="T10" s="811" t="s">
        <v>250</v>
      </c>
      <c r="V10" s="799">
        <v>4</v>
      </c>
      <c r="W10" s="799"/>
      <c r="X10" s="799"/>
      <c r="Y10" s="799"/>
      <c r="Z10" s="799"/>
      <c r="AA10" s="799"/>
      <c r="AB10" s="799"/>
      <c r="AC10" s="799"/>
      <c r="AD10" s="799"/>
      <c r="AE10" s="799"/>
    </row>
    <row r="11" spans="1:31" ht="14.25" customHeight="1">
      <c r="A11" s="804" t="s">
        <v>235</v>
      </c>
      <c r="B11" s="799"/>
      <c r="C11" s="799"/>
      <c r="D11" s="804"/>
      <c r="E11" s="804"/>
      <c r="F11" s="804"/>
      <c r="G11" s="817"/>
      <c r="H11" s="818"/>
      <c r="M11" s="805" t="s">
        <v>238</v>
      </c>
      <c r="N11" s="810"/>
      <c r="O11" s="807"/>
      <c r="P11" s="808"/>
      <c r="Q11" s="808"/>
      <c r="R11" s="809"/>
      <c r="S11" s="798"/>
      <c r="T11" s="811" t="s">
        <v>251</v>
      </c>
      <c r="V11" s="799">
        <v>5</v>
      </c>
      <c r="W11" s="799"/>
      <c r="X11" s="799"/>
      <c r="Y11" s="799"/>
      <c r="Z11" s="799"/>
      <c r="AA11" s="799"/>
      <c r="AB11" s="799"/>
      <c r="AC11" s="799"/>
      <c r="AD11" s="799"/>
      <c r="AE11" s="799"/>
    </row>
    <row r="12" spans="1:31" ht="14.25" customHeight="1">
      <c r="A12" s="804" t="s">
        <v>139</v>
      </c>
      <c r="B12" s="799"/>
      <c r="C12" s="799"/>
      <c r="D12" s="804"/>
      <c r="E12" s="804"/>
      <c r="F12" s="804"/>
      <c r="G12" s="804"/>
      <c r="H12" s="794" t="s">
        <v>854</v>
      </c>
      <c r="M12" s="805" t="s">
        <v>142</v>
      </c>
      <c r="N12" s="810"/>
      <c r="O12" s="807"/>
      <c r="P12" s="808"/>
      <c r="Q12" s="808"/>
      <c r="R12" s="809"/>
      <c r="S12" s="2572" t="s">
        <v>885</v>
      </c>
      <c r="T12" s="2573"/>
      <c r="V12" s="799">
        <v>6</v>
      </c>
      <c r="W12" s="799"/>
      <c r="X12" s="799"/>
      <c r="Y12" s="799"/>
      <c r="Z12" s="799"/>
      <c r="AA12" s="799"/>
      <c r="AB12" s="799"/>
      <c r="AC12" s="799"/>
      <c r="AD12" s="799"/>
      <c r="AE12" s="799"/>
    </row>
    <row r="13" spans="1:31" ht="14.25" customHeight="1">
      <c r="A13" s="804" t="s">
        <v>236</v>
      </c>
      <c r="B13" s="799"/>
      <c r="C13" s="799"/>
      <c r="D13" s="804"/>
      <c r="E13" s="804"/>
      <c r="F13" s="804"/>
      <c r="G13" s="1733" t="s">
        <v>471</v>
      </c>
      <c r="H13" s="1021">
        <v>10</v>
      </c>
      <c r="M13" s="805" t="s">
        <v>143</v>
      </c>
      <c r="N13" s="810"/>
      <c r="O13" s="807"/>
      <c r="P13" s="808"/>
      <c r="Q13" s="808"/>
      <c r="R13" s="809"/>
      <c r="S13" s="1325" t="s">
        <v>1437</v>
      </c>
      <c r="T13" s="798"/>
      <c r="V13" s="799">
        <v>7</v>
      </c>
      <c r="W13" s="799"/>
      <c r="X13" s="799"/>
      <c r="Y13" s="799"/>
      <c r="Z13" s="799"/>
      <c r="AA13" s="799"/>
      <c r="AB13" s="799"/>
      <c r="AC13" s="799"/>
      <c r="AD13" s="799"/>
      <c r="AE13" s="799"/>
    </row>
    <row r="14" spans="1:31" ht="14.25" customHeight="1">
      <c r="A14" s="804" t="s">
        <v>140</v>
      </c>
      <c r="B14" s="799"/>
      <c r="C14" s="799"/>
      <c r="D14" s="804"/>
      <c r="E14" s="804"/>
      <c r="F14" s="804"/>
      <c r="G14" s="1733" t="s">
        <v>458</v>
      </c>
      <c r="H14" s="1021">
        <v>15</v>
      </c>
      <c r="I14" s="820"/>
      <c r="M14" s="805" t="s">
        <v>144</v>
      </c>
      <c r="N14" s="810"/>
      <c r="O14" s="807"/>
      <c r="P14" s="808"/>
      <c r="Q14" s="808"/>
      <c r="R14" s="809"/>
      <c r="S14" s="811"/>
      <c r="T14" s="798"/>
      <c r="V14" s="799">
        <v>8</v>
      </c>
      <c r="W14" s="799"/>
      <c r="X14" s="799"/>
      <c r="Y14" s="799"/>
      <c r="Z14" s="799"/>
      <c r="AA14" s="799"/>
      <c r="AB14" s="799"/>
      <c r="AC14" s="799"/>
      <c r="AD14" s="799"/>
      <c r="AE14" s="799"/>
    </row>
    <row r="15" spans="1:31" ht="14.25" customHeight="1">
      <c r="A15" s="804" t="s">
        <v>237</v>
      </c>
      <c r="B15" s="799"/>
      <c r="C15" s="799"/>
      <c r="D15" s="804"/>
      <c r="E15" s="804"/>
      <c r="F15" s="804"/>
      <c r="G15" s="1733" t="s">
        <v>574</v>
      </c>
      <c r="H15" s="819"/>
      <c r="I15" s="820"/>
      <c r="N15" s="810"/>
      <c r="O15" s="808"/>
      <c r="P15" s="808"/>
      <c r="Q15" s="808"/>
      <c r="R15" s="809"/>
      <c r="S15" s="798"/>
      <c r="T15" s="798"/>
      <c r="V15" s="799">
        <v>9</v>
      </c>
      <c r="W15" s="799"/>
      <c r="X15" s="799"/>
      <c r="Y15" s="799"/>
      <c r="Z15" s="799"/>
      <c r="AA15" s="799"/>
      <c r="AB15" s="799"/>
      <c r="AC15" s="799"/>
      <c r="AD15" s="799"/>
      <c r="AE15" s="799"/>
    </row>
    <row r="16" spans="1:31" ht="14.25" customHeight="1">
      <c r="A16" s="804" t="s">
        <v>141</v>
      </c>
      <c r="B16" s="799"/>
      <c r="C16" s="799"/>
      <c r="D16" s="804"/>
      <c r="E16" s="804"/>
      <c r="F16" s="804"/>
      <c r="G16" s="1733" t="s">
        <v>575</v>
      </c>
      <c r="H16" s="819">
        <v>1853</v>
      </c>
      <c r="I16" s="820"/>
      <c r="M16" s="799"/>
      <c r="N16" s="810"/>
      <c r="O16" s="808"/>
      <c r="P16" s="821"/>
      <c r="Q16" s="808"/>
      <c r="R16" s="822"/>
      <c r="S16" s="823" t="s">
        <v>471</v>
      </c>
      <c r="T16" s="1345">
        <v>12.9</v>
      </c>
      <c r="V16" s="799">
        <v>10</v>
      </c>
      <c r="W16" s="799"/>
      <c r="X16" s="799"/>
      <c r="Y16" s="799"/>
      <c r="Z16" s="799"/>
      <c r="AA16" s="799"/>
      <c r="AB16" s="799"/>
      <c r="AC16" s="799"/>
      <c r="AD16" s="799"/>
      <c r="AE16" s="799"/>
    </row>
    <row r="17" spans="1:31" ht="14.25" customHeight="1">
      <c r="A17" s="804" t="s">
        <v>238</v>
      </c>
      <c r="B17" s="799"/>
      <c r="C17" s="799"/>
      <c r="D17" s="804"/>
      <c r="E17" s="804"/>
      <c r="F17" s="804"/>
      <c r="G17" s="1733" t="s">
        <v>576</v>
      </c>
      <c r="H17" s="819">
        <v>7.8</v>
      </c>
      <c r="I17" s="820"/>
      <c r="S17" s="823" t="s">
        <v>458</v>
      </c>
      <c r="T17" s="1345">
        <v>12</v>
      </c>
      <c r="V17" s="799">
        <v>11</v>
      </c>
      <c r="W17" s="799"/>
      <c r="X17" s="799"/>
      <c r="Y17" s="799"/>
      <c r="Z17" s="799"/>
      <c r="AA17" s="799"/>
      <c r="AB17" s="799"/>
      <c r="AC17" s="799"/>
      <c r="AD17" s="799"/>
      <c r="AE17" s="799"/>
    </row>
    <row r="18" spans="1:31" ht="14.25" customHeight="1">
      <c r="A18" s="804" t="s">
        <v>142</v>
      </c>
      <c r="B18" s="799"/>
      <c r="C18" s="799"/>
      <c r="D18" s="804"/>
      <c r="E18" s="804"/>
      <c r="F18" s="804"/>
      <c r="G18" s="1733" t="s">
        <v>472</v>
      </c>
      <c r="H18" s="1021">
        <v>13.6</v>
      </c>
      <c r="I18" s="820"/>
      <c r="M18" s="825" t="s">
        <v>577</v>
      </c>
      <c r="N18" s="2574" t="s">
        <v>1464</v>
      </c>
      <c r="O18" s="2575"/>
      <c r="P18" s="2575"/>
      <c r="Q18" s="2575"/>
      <c r="R18" s="2575"/>
      <c r="S18" s="823" t="s">
        <v>574</v>
      </c>
      <c r="T18" s="1345">
        <v>5</v>
      </c>
      <c r="V18" s="799">
        <v>12</v>
      </c>
      <c r="W18" s="799"/>
      <c r="X18" s="799"/>
      <c r="Y18" s="799"/>
      <c r="Z18" s="799"/>
      <c r="AA18" s="799"/>
      <c r="AB18" s="799"/>
      <c r="AC18" s="799"/>
      <c r="AD18" s="799"/>
      <c r="AE18" s="799"/>
    </row>
    <row r="19" spans="1:31" ht="14.25" customHeight="1">
      <c r="A19" s="804" t="s">
        <v>143</v>
      </c>
      <c r="B19" s="803"/>
      <c r="C19" s="803"/>
      <c r="D19" s="804"/>
      <c r="E19" s="804"/>
      <c r="F19" s="804"/>
      <c r="G19" s="1734" t="s">
        <v>730</v>
      </c>
      <c r="H19" s="53"/>
      <c r="M19" s="827" t="s">
        <v>898</v>
      </c>
      <c r="N19" s="2576"/>
      <c r="O19" s="2576"/>
      <c r="P19" s="2576"/>
      <c r="Q19" s="2576"/>
      <c r="R19" s="2576"/>
      <c r="S19" s="823" t="s">
        <v>575</v>
      </c>
      <c r="T19" s="1345">
        <v>1545</v>
      </c>
      <c r="V19" s="799">
        <v>13</v>
      </c>
      <c r="W19" s="799"/>
      <c r="X19" s="799"/>
      <c r="Y19" s="799"/>
      <c r="Z19" s="799"/>
      <c r="AA19" s="799"/>
      <c r="AB19" s="799"/>
      <c r="AC19" s="799"/>
      <c r="AD19" s="799"/>
      <c r="AE19" s="799"/>
    </row>
    <row r="20" spans="1:31" ht="14.25" customHeight="1">
      <c r="A20" s="804" t="s">
        <v>144</v>
      </c>
      <c r="B20" s="803"/>
      <c r="C20" s="803"/>
      <c r="D20" s="804"/>
      <c r="E20" s="804"/>
      <c r="F20" s="804"/>
      <c r="G20" s="1734" t="s">
        <v>725</v>
      </c>
      <c r="H20" s="53"/>
      <c r="M20" s="828" t="s">
        <v>888</v>
      </c>
      <c r="N20" s="828"/>
      <c r="O20" s="828" t="s">
        <v>899</v>
      </c>
      <c r="P20" s="828"/>
      <c r="Q20" s="829" t="s">
        <v>896</v>
      </c>
      <c r="R20" s="828"/>
      <c r="S20" s="823" t="s">
        <v>576</v>
      </c>
      <c r="T20" s="1345">
        <v>4.8</v>
      </c>
      <c r="V20" s="799">
        <v>14</v>
      </c>
      <c r="W20" s="799"/>
      <c r="X20" s="799"/>
      <c r="Y20" s="799"/>
      <c r="Z20" s="799"/>
      <c r="AA20" s="799"/>
      <c r="AB20" s="799"/>
      <c r="AC20" s="799"/>
      <c r="AD20" s="799"/>
      <c r="AE20" s="799"/>
    </row>
    <row r="21" spans="1:31" ht="14.25" customHeight="1">
      <c r="A21" s="804" t="s">
        <v>145</v>
      </c>
      <c r="B21" s="803"/>
      <c r="C21" s="803"/>
      <c r="D21" s="804"/>
      <c r="E21" s="804"/>
      <c r="F21" s="804"/>
      <c r="G21" s="1734" t="s">
        <v>726</v>
      </c>
      <c r="H21" s="53"/>
      <c r="M21" s="827"/>
      <c r="N21" s="827"/>
      <c r="O21" s="827"/>
      <c r="P21" s="827"/>
      <c r="Q21" s="827"/>
      <c r="R21" s="827"/>
      <c r="S21" s="823" t="s">
        <v>472</v>
      </c>
      <c r="T21" s="1345">
        <v>11.2</v>
      </c>
      <c r="V21" s="799">
        <v>15</v>
      </c>
      <c r="W21" s="799"/>
      <c r="X21" s="799"/>
      <c r="Y21" s="799"/>
      <c r="Z21" s="799"/>
      <c r="AA21" s="799"/>
      <c r="AB21" s="799"/>
      <c r="AC21" s="799"/>
      <c r="AD21" s="799"/>
      <c r="AE21" s="799"/>
    </row>
    <row r="22" spans="1:31" ht="14.25" customHeight="1">
      <c r="A22" s="804" t="s">
        <v>146</v>
      </c>
      <c r="B22" s="803"/>
      <c r="C22" s="803"/>
      <c r="D22" s="804"/>
      <c r="E22" s="804"/>
      <c r="F22" s="804"/>
      <c r="G22" s="1735" t="s">
        <v>727</v>
      </c>
      <c r="H22" s="819"/>
      <c r="S22" s="830" t="s">
        <v>729</v>
      </c>
      <c r="T22" s="1346"/>
      <c r="V22" s="799">
        <v>16</v>
      </c>
      <c r="W22" s="799"/>
      <c r="X22" s="799"/>
      <c r="Y22" s="799"/>
      <c r="Z22" s="799"/>
      <c r="AA22" s="799"/>
      <c r="AB22" s="799"/>
      <c r="AC22" s="799"/>
      <c r="AD22" s="799"/>
      <c r="AE22" s="799"/>
    </row>
    <row r="23" spans="1:31" ht="14.25" customHeight="1">
      <c r="A23" s="804" t="s">
        <v>147</v>
      </c>
      <c r="B23" s="799"/>
      <c r="C23" s="799"/>
      <c r="D23" s="804"/>
      <c r="E23" s="804"/>
      <c r="F23" s="804"/>
      <c r="G23" s="1735" t="s">
        <v>724</v>
      </c>
      <c r="H23" s="1308"/>
      <c r="I23" s="820"/>
      <c r="M23" s="53" t="s">
        <v>1335</v>
      </c>
      <c r="N23" s="53" t="s">
        <v>1336</v>
      </c>
      <c r="O23" s="53" t="s">
        <v>5</v>
      </c>
      <c r="P23" s="799"/>
      <c r="Q23" s="799"/>
      <c r="S23" s="830" t="s">
        <v>728</v>
      </c>
      <c r="T23" s="1346"/>
      <c r="V23" s="799">
        <v>17</v>
      </c>
      <c r="W23" s="799"/>
      <c r="X23" s="799"/>
      <c r="Y23" s="799"/>
      <c r="Z23" s="799"/>
      <c r="AA23" s="799"/>
      <c r="AB23" s="799"/>
      <c r="AC23" s="799"/>
      <c r="AD23" s="799"/>
      <c r="AE23" s="799"/>
    </row>
    <row r="24" spans="1:31" ht="14.25" customHeight="1">
      <c r="A24" s="804" t="s">
        <v>165</v>
      </c>
      <c r="B24" s="799"/>
      <c r="C24" s="799"/>
      <c r="D24" s="804"/>
      <c r="E24" s="804"/>
      <c r="F24" s="804"/>
      <c r="G24" s="1736" t="s">
        <v>883</v>
      </c>
      <c r="H24" s="1309"/>
      <c r="M24" s="53" t="s">
        <v>1337</v>
      </c>
      <c r="N24" s="799"/>
      <c r="O24" s="799"/>
      <c r="P24" s="799"/>
      <c r="Q24" s="799"/>
      <c r="S24" s="826" t="s">
        <v>732</v>
      </c>
      <c r="T24" s="88"/>
      <c r="V24" s="799">
        <v>18</v>
      </c>
      <c r="W24" s="799"/>
      <c r="X24" s="799"/>
      <c r="Y24" s="799"/>
      <c r="Z24" s="799"/>
      <c r="AA24" s="799"/>
      <c r="AB24" s="799"/>
      <c r="AC24" s="799"/>
      <c r="AD24" s="799"/>
      <c r="AE24" s="799"/>
    </row>
    <row r="25" spans="1:31" ht="14.25" customHeight="1">
      <c r="A25" s="804" t="s">
        <v>166</v>
      </c>
      <c r="B25" s="799"/>
      <c r="C25" s="799"/>
      <c r="D25" s="804"/>
      <c r="E25" s="804"/>
      <c r="F25" s="804"/>
      <c r="G25" s="1737" t="s">
        <v>1463</v>
      </c>
      <c r="H25" s="1362">
        <v>1.29</v>
      </c>
      <c r="M25" s="53" t="s">
        <v>1534</v>
      </c>
      <c r="N25" s="799"/>
      <c r="O25" s="799"/>
      <c r="P25" s="799"/>
      <c r="Q25" s="799"/>
      <c r="S25" s="76" t="s">
        <v>883</v>
      </c>
      <c r="T25" s="1346"/>
      <c r="V25" s="799">
        <v>19</v>
      </c>
      <c r="W25" s="799"/>
      <c r="X25" s="799"/>
      <c r="Y25" s="799"/>
      <c r="Z25" s="799"/>
      <c r="AA25" s="799"/>
      <c r="AB25" s="799"/>
      <c r="AC25" s="799"/>
      <c r="AD25" s="799"/>
      <c r="AE25" s="799"/>
    </row>
    <row r="26" spans="1:31" ht="14.25" customHeight="1">
      <c r="A26" s="804" t="s">
        <v>720</v>
      </c>
      <c r="B26" s="799"/>
      <c r="C26" s="799"/>
      <c r="D26" s="804"/>
      <c r="E26" s="804"/>
      <c r="F26" s="804"/>
      <c r="G26" s="804"/>
      <c r="M26" s="53" t="s">
        <v>1535</v>
      </c>
      <c r="N26" s="799"/>
      <c r="O26" s="799"/>
      <c r="P26" s="799"/>
      <c r="Q26" s="799"/>
      <c r="S26" s="12" t="s">
        <v>848</v>
      </c>
      <c r="T26" s="1347">
        <v>0.44</v>
      </c>
      <c r="V26" s="799"/>
      <c r="W26" s="799"/>
      <c r="X26" s="799"/>
      <c r="Y26" s="799"/>
      <c r="Z26" s="799"/>
      <c r="AA26" s="799"/>
      <c r="AB26" s="799"/>
      <c r="AC26" s="799"/>
      <c r="AD26" s="799"/>
      <c r="AE26" s="799"/>
    </row>
    <row r="27" spans="1:31" ht="14.25" customHeight="1">
      <c r="A27" s="804" t="s">
        <v>721</v>
      </c>
      <c r="B27" s="799"/>
      <c r="C27" s="799"/>
      <c r="D27" s="804"/>
      <c r="E27" s="804"/>
      <c r="F27" s="804"/>
      <c r="G27" s="804"/>
      <c r="S27" s="12" t="s">
        <v>1518</v>
      </c>
      <c r="V27" s="799"/>
      <c r="W27" s="799"/>
      <c r="X27" s="799"/>
      <c r="Y27" s="799"/>
      <c r="Z27" s="799"/>
      <c r="AA27" s="799"/>
      <c r="AB27" s="799"/>
      <c r="AC27" s="799"/>
      <c r="AD27" s="799"/>
      <c r="AE27" s="799"/>
    </row>
    <row r="28" spans="1:31" ht="14.25" customHeight="1">
      <c r="A28" s="804" t="s">
        <v>722</v>
      </c>
      <c r="B28" s="799"/>
      <c r="C28" s="799"/>
      <c r="D28" s="804"/>
      <c r="E28" s="804"/>
      <c r="F28" s="804"/>
      <c r="G28" s="804"/>
      <c r="V28" s="799"/>
      <c r="W28" s="799"/>
      <c r="X28" s="799"/>
      <c r="Y28" s="799"/>
      <c r="Z28" s="799"/>
      <c r="AA28" s="799"/>
      <c r="AB28" s="799"/>
      <c r="AC28" s="799"/>
      <c r="AD28" s="799"/>
      <c r="AE28" s="799"/>
    </row>
    <row r="29" spans="1:31" ht="14.25" customHeight="1">
      <c r="A29" s="804" t="s">
        <v>723</v>
      </c>
      <c r="B29" s="833"/>
      <c r="C29" s="833"/>
      <c r="D29" s="799"/>
      <c r="E29" s="799"/>
      <c r="F29" s="799"/>
      <c r="G29" s="799"/>
      <c r="V29" s="799">
        <v>20</v>
      </c>
      <c r="W29" s="799"/>
      <c r="X29" s="799"/>
      <c r="Y29" s="799"/>
      <c r="Z29" s="799"/>
      <c r="AA29" s="799"/>
      <c r="AB29" s="799"/>
      <c r="AC29" s="799"/>
      <c r="AD29" s="799"/>
      <c r="AE29" s="799"/>
    </row>
    <row r="30" spans="1:31" ht="14.25" customHeight="1">
      <c r="A30" s="804"/>
      <c r="B30" s="833"/>
      <c r="C30" s="833"/>
      <c r="D30" s="799"/>
      <c r="E30" s="799"/>
      <c r="F30" s="799"/>
      <c r="G30" s="799"/>
      <c r="V30" s="799"/>
      <c r="W30" s="799"/>
      <c r="X30" s="799"/>
      <c r="Y30" s="799"/>
      <c r="Z30" s="799"/>
      <c r="AA30" s="799"/>
      <c r="AB30" s="799"/>
      <c r="AC30" s="799"/>
      <c r="AD30" s="799"/>
      <c r="AE30" s="799"/>
    </row>
    <row r="31" spans="1:31" ht="14.25" customHeight="1">
      <c r="A31" s="804"/>
      <c r="B31" s="833"/>
      <c r="C31" s="833"/>
      <c r="D31" s="799"/>
      <c r="E31" s="799"/>
      <c r="F31" s="799"/>
      <c r="G31" s="799"/>
      <c r="V31" s="799"/>
      <c r="W31" s="799"/>
      <c r="X31" s="799"/>
      <c r="Y31" s="799"/>
      <c r="Z31" s="799"/>
      <c r="AA31" s="799"/>
      <c r="AB31" s="799"/>
      <c r="AC31" s="799"/>
      <c r="AD31" s="799"/>
      <c r="AE31" s="799"/>
    </row>
    <row r="32" spans="1:31" ht="14.25" customHeight="1">
      <c r="A32" s="834" t="s">
        <v>418</v>
      </c>
      <c r="B32" s="53"/>
      <c r="C32" s="799"/>
      <c r="D32" s="799"/>
      <c r="E32" s="799"/>
      <c r="F32" s="799"/>
      <c r="G32" s="799"/>
      <c r="H32" s="799"/>
      <c r="V32" s="799">
        <v>21</v>
      </c>
      <c r="W32" s="799"/>
      <c r="X32" s="799"/>
      <c r="Y32" s="799"/>
      <c r="Z32" s="799"/>
      <c r="AA32" s="799"/>
      <c r="AB32" s="799"/>
      <c r="AC32" s="799"/>
      <c r="AD32" s="799"/>
      <c r="AE32" s="799"/>
    </row>
    <row r="33" spans="1:31" ht="14.25" customHeight="1">
      <c r="A33" s="834" t="s">
        <v>419</v>
      </c>
      <c r="B33" s="53"/>
      <c r="C33" s="799"/>
      <c r="D33" s="799"/>
      <c r="E33" s="799"/>
      <c r="F33" s="799"/>
      <c r="G33" s="799"/>
      <c r="H33" s="799"/>
      <c r="V33" s="799">
        <v>22</v>
      </c>
      <c r="W33" s="799"/>
      <c r="X33" s="799"/>
      <c r="Y33" s="799"/>
      <c r="Z33" s="799"/>
      <c r="AA33" s="799"/>
      <c r="AB33" s="799"/>
      <c r="AC33" s="799"/>
      <c r="AD33" s="799"/>
      <c r="AE33" s="799"/>
    </row>
    <row r="34" spans="1:31" ht="14.25" customHeight="1">
      <c r="A34" s="2563" t="s">
        <v>886</v>
      </c>
      <c r="B34" s="2563"/>
      <c r="C34" s="2563"/>
      <c r="D34" s="2563"/>
      <c r="E34" s="2563"/>
      <c r="F34" s="2563"/>
      <c r="G34" s="2563"/>
      <c r="H34" s="2563"/>
      <c r="V34" s="799">
        <v>23</v>
      </c>
      <c r="W34" s="799"/>
      <c r="X34" s="799"/>
      <c r="Y34" s="799"/>
      <c r="Z34" s="799"/>
      <c r="AA34" s="799"/>
      <c r="AB34" s="799"/>
      <c r="AC34" s="799"/>
      <c r="AD34" s="799"/>
      <c r="AE34" s="799"/>
    </row>
    <row r="35" spans="1:31" ht="14.25" customHeight="1">
      <c r="A35" s="827" t="s">
        <v>896</v>
      </c>
      <c r="B35" s="827"/>
      <c r="C35" s="827" t="s">
        <v>897</v>
      </c>
      <c r="D35" s="827"/>
      <c r="E35" s="827"/>
      <c r="F35" s="827"/>
      <c r="G35" s="827"/>
      <c r="H35" s="835"/>
      <c r="V35" s="799">
        <v>24</v>
      </c>
      <c r="W35" s="799"/>
      <c r="X35" s="799"/>
      <c r="Y35" s="799"/>
      <c r="Z35" s="799"/>
      <c r="AA35" s="799"/>
      <c r="AB35" s="799"/>
      <c r="AC35" s="799"/>
      <c r="AD35" s="799"/>
      <c r="AE35" s="799"/>
    </row>
    <row r="36" spans="1:31" ht="14.25" customHeight="1">
      <c r="A36" s="835"/>
      <c r="B36" s="835"/>
      <c r="C36" s="835"/>
      <c r="D36" s="835"/>
      <c r="E36" s="835"/>
      <c r="F36" s="835"/>
      <c r="G36" s="835"/>
      <c r="V36" s="799">
        <v>25</v>
      </c>
      <c r="W36" s="799"/>
      <c r="X36" s="799"/>
      <c r="Y36" s="799"/>
      <c r="Z36" s="799"/>
      <c r="AA36" s="799"/>
      <c r="AB36" s="799"/>
      <c r="AC36" s="799"/>
      <c r="AD36" s="799"/>
      <c r="AE36" s="799"/>
    </row>
    <row r="37" spans="1:31" ht="14.25" customHeight="1">
      <c r="A37" s="2564" t="s">
        <v>1404</v>
      </c>
      <c r="B37" s="2565"/>
      <c r="C37" s="2566" t="s">
        <v>109</v>
      </c>
      <c r="D37" s="2567"/>
      <c r="E37" s="2566" t="s">
        <v>327</v>
      </c>
      <c r="F37" s="2567"/>
      <c r="G37" s="2566" t="s">
        <v>793</v>
      </c>
      <c r="H37" s="2567"/>
      <c r="W37" s="2577" t="s">
        <v>699</v>
      </c>
      <c r="X37" s="2577"/>
      <c r="Y37" s="2577"/>
    </row>
    <row r="38" spans="1:31" ht="14.25" customHeight="1">
      <c r="A38" s="836" t="s">
        <v>134</v>
      </c>
      <c r="B38" s="837"/>
      <c r="C38" s="836" t="s">
        <v>134</v>
      </c>
      <c r="D38" s="838"/>
      <c r="E38" s="836" t="s">
        <v>134</v>
      </c>
      <c r="F38" s="799"/>
      <c r="G38" s="836" t="s">
        <v>134</v>
      </c>
      <c r="H38" s="799"/>
      <c r="W38" s="839">
        <v>0</v>
      </c>
      <c r="X38" s="2570" t="s">
        <v>700</v>
      </c>
      <c r="Y38" s="2570"/>
      <c r="Z38" s="2570"/>
      <c r="AA38" s="2570"/>
      <c r="AB38" s="2570"/>
      <c r="AC38" s="2570"/>
      <c r="AD38" s="2570"/>
      <c r="AE38" s="2570"/>
    </row>
    <row r="39" spans="1:31" ht="14.25" customHeight="1">
      <c r="A39" s="836" t="s">
        <v>149</v>
      </c>
      <c r="B39" s="840"/>
      <c r="C39" s="836" t="s">
        <v>149</v>
      </c>
      <c r="D39" s="840"/>
      <c r="E39" s="836" t="s">
        <v>149</v>
      </c>
      <c r="F39" s="840">
        <v>50</v>
      </c>
      <c r="G39" s="836" t="s">
        <v>149</v>
      </c>
      <c r="H39" s="799"/>
      <c r="W39" s="839">
        <v>1</v>
      </c>
      <c r="X39" s="2570" t="s">
        <v>701</v>
      </c>
      <c r="Y39" s="2570"/>
      <c r="Z39" s="2570"/>
      <c r="AA39" s="2570"/>
      <c r="AB39" s="2570"/>
      <c r="AC39" s="2570"/>
      <c r="AD39" s="2570"/>
      <c r="AE39" s="2570"/>
    </row>
    <row r="40" spans="1:31" ht="14.25" customHeight="1">
      <c r="A40" s="841" t="s">
        <v>710</v>
      </c>
      <c r="B40" s="842"/>
      <c r="C40" s="841" t="s">
        <v>710</v>
      </c>
      <c r="D40" s="842"/>
      <c r="E40" s="841" t="s">
        <v>710</v>
      </c>
      <c r="F40" s="842"/>
      <c r="G40" s="841" t="s">
        <v>710</v>
      </c>
      <c r="H40" s="799"/>
      <c r="W40" s="839">
        <v>2</v>
      </c>
      <c r="X40" s="2570" t="s">
        <v>702</v>
      </c>
      <c r="Y40" s="2570"/>
      <c r="Z40" s="2570"/>
      <c r="AA40" s="2570"/>
      <c r="AB40" s="2570"/>
      <c r="AC40" s="2570"/>
      <c r="AD40" s="2570"/>
      <c r="AE40" s="2570"/>
    </row>
    <row r="41" spans="1:31" ht="14.25" customHeight="1">
      <c r="A41" s="1301" t="s">
        <v>1394</v>
      </c>
      <c r="B41" s="843"/>
      <c r="C41" s="841" t="s">
        <v>711</v>
      </c>
      <c r="D41" s="843"/>
      <c r="E41" s="841" t="s">
        <v>711</v>
      </c>
      <c r="F41" s="843"/>
      <c r="G41" s="836" t="s">
        <v>711</v>
      </c>
      <c r="H41" s="799"/>
      <c r="W41" s="839"/>
      <c r="X41" s="844"/>
      <c r="Y41" s="844"/>
      <c r="Z41" s="844"/>
      <c r="AA41" s="844"/>
      <c r="AB41" s="844"/>
      <c r="AC41" s="844"/>
      <c r="AD41" s="844"/>
      <c r="AE41" s="844"/>
    </row>
    <row r="42" spans="1:31" ht="14.25" customHeight="1">
      <c r="A42" s="1302" t="s">
        <v>1329</v>
      </c>
      <c r="B42" s="1300"/>
      <c r="C42" s="1302" t="s">
        <v>1329</v>
      </c>
      <c r="D42" s="1300"/>
      <c r="E42" s="1302" t="s">
        <v>1329</v>
      </c>
      <c r="F42" s="843"/>
      <c r="G42" s="1302" t="s">
        <v>1329</v>
      </c>
      <c r="H42" s="799"/>
      <c r="W42" s="839"/>
      <c r="X42" s="844"/>
      <c r="Y42" s="844"/>
      <c r="Z42" s="844"/>
      <c r="AA42" s="844"/>
      <c r="AB42" s="844"/>
      <c r="AC42" s="844"/>
      <c r="AD42" s="844"/>
      <c r="AE42" s="844"/>
    </row>
    <row r="43" spans="1:31" ht="14.25" customHeight="1">
      <c r="A43" s="845"/>
      <c r="B43" s="846" t="s">
        <v>848</v>
      </c>
      <c r="C43" s="1307" t="s">
        <v>109</v>
      </c>
      <c r="D43" s="846" t="s">
        <v>793</v>
      </c>
      <c r="F43" s="847"/>
      <c r="G43" s="847"/>
      <c r="W43" s="839"/>
      <c r="X43" s="844"/>
      <c r="Y43" s="844"/>
      <c r="Z43" s="844"/>
      <c r="AA43" s="844"/>
      <c r="AB43" s="844"/>
      <c r="AC43" s="844"/>
      <c r="AD43" s="844"/>
      <c r="AE43" s="844"/>
    </row>
    <row r="44" spans="1:31" ht="14.25" customHeight="1">
      <c r="A44" s="848" t="s">
        <v>150</v>
      </c>
      <c r="B44" s="1306" t="s">
        <v>1398</v>
      </c>
      <c r="C44" s="1306" t="s">
        <v>1398</v>
      </c>
      <c r="D44" s="1306" t="s">
        <v>1398</v>
      </c>
      <c r="E44" s="2580" t="s">
        <v>157</v>
      </c>
      <c r="F44" s="2580"/>
      <c r="G44" s="2578" t="s">
        <v>1396</v>
      </c>
      <c r="H44" s="2579"/>
      <c r="W44" s="839">
        <v>3</v>
      </c>
      <c r="X44" s="2570" t="s">
        <v>703</v>
      </c>
      <c r="Y44" s="2570"/>
      <c r="Z44" s="2570"/>
      <c r="AA44" s="2570"/>
      <c r="AB44" s="2570"/>
      <c r="AC44" s="2570"/>
      <c r="AD44" s="2570"/>
      <c r="AE44" s="2570"/>
    </row>
    <row r="45" spans="1:31" ht="14.25" customHeight="1">
      <c r="A45" s="824">
        <v>2</v>
      </c>
      <c r="B45" s="1369"/>
      <c r="C45" s="1363"/>
      <c r="D45" s="1363"/>
      <c r="E45" s="832" t="s">
        <v>134</v>
      </c>
      <c r="F45" s="804"/>
      <c r="G45" s="832" t="s">
        <v>149</v>
      </c>
      <c r="H45" s="850"/>
      <c r="W45" s="839">
        <v>4</v>
      </c>
      <c r="X45" s="2570" t="s">
        <v>704</v>
      </c>
      <c r="Y45" s="2570"/>
      <c r="Z45" s="2570"/>
      <c r="AA45" s="2570"/>
      <c r="AB45" s="2570"/>
      <c r="AC45" s="2570"/>
      <c r="AD45" s="2570"/>
      <c r="AE45" s="2570"/>
    </row>
    <row r="46" spans="1:31" ht="14.25" customHeight="1">
      <c r="A46" s="824">
        <v>4</v>
      </c>
      <c r="B46" s="799"/>
      <c r="C46" s="849"/>
      <c r="D46" s="849"/>
      <c r="E46" s="1303" t="s">
        <v>710</v>
      </c>
      <c r="F46" s="851"/>
      <c r="G46" s="154" t="s">
        <v>1395</v>
      </c>
      <c r="H46" s="852"/>
      <c r="W46" s="839">
        <v>5</v>
      </c>
      <c r="X46" s="2570" t="s">
        <v>705</v>
      </c>
      <c r="Y46" s="2570"/>
      <c r="Z46" s="2570"/>
      <c r="AA46" s="2570"/>
      <c r="AB46" s="2570"/>
      <c r="AC46" s="2570"/>
      <c r="AD46" s="2570"/>
      <c r="AE46" s="2570"/>
    </row>
    <row r="47" spans="1:31" ht="14.25" customHeight="1">
      <c r="A47" s="824">
        <v>6</v>
      </c>
      <c r="B47" s="799"/>
      <c r="C47" s="849"/>
      <c r="D47" s="849"/>
      <c r="E47" s="1168" t="s">
        <v>1394</v>
      </c>
      <c r="F47" s="799"/>
      <c r="G47" s="1305" t="s">
        <v>151</v>
      </c>
      <c r="H47" s="1305" t="s">
        <v>870</v>
      </c>
      <c r="W47" s="839">
        <v>6</v>
      </c>
      <c r="X47" s="2570" t="s">
        <v>706</v>
      </c>
      <c r="Y47" s="2570"/>
      <c r="Z47" s="2570"/>
      <c r="AA47" s="2570"/>
      <c r="AB47" s="2570"/>
      <c r="AC47" s="2570"/>
      <c r="AD47" s="2570"/>
      <c r="AE47" s="2570"/>
    </row>
    <row r="48" spans="1:31" ht="14.25" customHeight="1">
      <c r="A48" s="824">
        <v>8</v>
      </c>
      <c r="B48" s="799"/>
      <c r="C48" s="849"/>
      <c r="D48" s="849"/>
      <c r="E48" s="1304" t="s">
        <v>1329</v>
      </c>
      <c r="F48" s="799"/>
      <c r="G48" s="799"/>
      <c r="H48" s="799"/>
    </row>
    <row r="49" spans="1:8" ht="14.25" customHeight="1">
      <c r="A49" s="824">
        <v>10</v>
      </c>
      <c r="B49" s="799"/>
      <c r="C49" s="849"/>
      <c r="D49" s="849"/>
      <c r="E49" s="2582" t="s">
        <v>158</v>
      </c>
      <c r="F49" s="2582"/>
      <c r="G49" s="2578" t="s">
        <v>1397</v>
      </c>
      <c r="H49" s="2579"/>
    </row>
    <row r="50" spans="1:8" ht="14.25" customHeight="1">
      <c r="A50" s="293" t="s">
        <v>1405</v>
      </c>
      <c r="B50" s="1362"/>
      <c r="C50" s="849"/>
      <c r="D50" s="849"/>
      <c r="E50" s="832" t="s">
        <v>134</v>
      </c>
      <c r="F50" s="799"/>
      <c r="G50" s="832" t="s">
        <v>149</v>
      </c>
      <c r="H50" s="850"/>
    </row>
    <row r="51" spans="1:8" ht="14.25" customHeight="1">
      <c r="A51" s="836" t="s">
        <v>134</v>
      </c>
      <c r="B51" s="799"/>
      <c r="C51" s="849"/>
      <c r="D51" s="849"/>
      <c r="E51" s="1303" t="s">
        <v>710</v>
      </c>
      <c r="F51" s="851"/>
      <c r="G51" s="154" t="s">
        <v>1395</v>
      </c>
      <c r="H51" s="852"/>
    </row>
    <row r="52" spans="1:8" ht="14.25" customHeight="1">
      <c r="A52" s="836" t="s">
        <v>149</v>
      </c>
      <c r="B52" s="799"/>
      <c r="C52" s="799"/>
      <c r="D52" s="849"/>
      <c r="E52" s="1168" t="s">
        <v>1394</v>
      </c>
      <c r="F52" s="851"/>
      <c r="G52" s="1305" t="s">
        <v>151</v>
      </c>
      <c r="H52" s="1305" t="s">
        <v>870</v>
      </c>
    </row>
    <row r="53" spans="1:8" ht="14.25" customHeight="1">
      <c r="A53" s="841" t="s">
        <v>710</v>
      </c>
      <c r="B53" s="799"/>
      <c r="C53" s="799"/>
      <c r="D53" s="849"/>
      <c r="E53" s="1304" t="s">
        <v>1329</v>
      </c>
      <c r="F53" s="799"/>
      <c r="G53" s="799"/>
      <c r="H53" s="799"/>
    </row>
    <row r="54" spans="1:8" ht="14.25" customHeight="1">
      <c r="A54" s="1301" t="s">
        <v>1394</v>
      </c>
      <c r="B54" s="799"/>
      <c r="C54" s="799"/>
      <c r="D54" s="799"/>
    </row>
    <row r="55" spans="1:8" ht="14.25" customHeight="1">
      <c r="A55" s="1302" t="s">
        <v>1329</v>
      </c>
      <c r="B55" s="799"/>
      <c r="C55" s="799"/>
      <c r="D55" s="799"/>
    </row>
    <row r="56" spans="1:8" ht="14.25" customHeight="1">
      <c r="A56" s="824"/>
      <c r="B56" s="799"/>
      <c r="C56" s="799"/>
      <c r="D56" s="799"/>
    </row>
    <row r="57" spans="1:8" ht="14.25" customHeight="1">
      <c r="A57" s="820"/>
    </row>
    <row r="58" spans="1:8" ht="14.25" customHeight="1">
      <c r="B58" s="2562"/>
      <c r="C58" s="2562"/>
      <c r="D58" s="2562"/>
      <c r="E58" s="2562"/>
      <c r="F58" s="2562"/>
      <c r="G58" s="2562"/>
      <c r="H58" s="853"/>
    </row>
    <row r="59" spans="1:8" ht="14.25" customHeight="1">
      <c r="A59" s="794" t="s">
        <v>168</v>
      </c>
      <c r="D59" s="793" t="s">
        <v>169</v>
      </c>
      <c r="E59" s="795">
        <v>43843</v>
      </c>
    </row>
    <row r="60" spans="1:8" ht="14.25" customHeight="1">
      <c r="A60" s="800" t="s">
        <v>174</v>
      </c>
      <c r="B60" s="831" t="s">
        <v>134</v>
      </c>
      <c r="C60" s="831" t="s">
        <v>135</v>
      </c>
      <c r="D60" s="831" t="s">
        <v>136</v>
      </c>
      <c r="E60" s="831" t="s">
        <v>137</v>
      </c>
      <c r="F60" s="831" t="s">
        <v>138</v>
      </c>
      <c r="G60" s="854" t="s">
        <v>148</v>
      </c>
      <c r="H60" s="800" t="s">
        <v>156</v>
      </c>
    </row>
    <row r="61" spans="1:8" ht="14.25" customHeight="1">
      <c r="A61" s="804" t="s">
        <v>235</v>
      </c>
      <c r="B61" s="799"/>
      <c r="C61" s="799"/>
      <c r="D61" s="855"/>
      <c r="E61" s="855"/>
      <c r="F61" s="855"/>
      <c r="G61" s="856"/>
      <c r="H61" s="799"/>
    </row>
    <row r="62" spans="1:8" ht="14.25" customHeight="1">
      <c r="A62" s="804" t="s">
        <v>139</v>
      </c>
      <c r="B62" s="799"/>
      <c r="C62" s="799"/>
      <c r="D62" s="855"/>
      <c r="E62" s="855"/>
      <c r="F62" s="855"/>
      <c r="G62" s="857"/>
    </row>
    <row r="63" spans="1:8" ht="14.25" customHeight="1">
      <c r="A63" s="804" t="s">
        <v>236</v>
      </c>
      <c r="B63" s="799"/>
      <c r="C63" s="799"/>
      <c r="D63" s="855"/>
      <c r="E63" s="855"/>
      <c r="F63" s="855"/>
      <c r="G63" s="857"/>
    </row>
    <row r="64" spans="1:8" ht="14.25" customHeight="1">
      <c r="A64" s="804" t="s">
        <v>140</v>
      </c>
      <c r="B64" s="799"/>
      <c r="C64" s="799"/>
      <c r="D64" s="855"/>
      <c r="E64" s="855"/>
      <c r="F64" s="855"/>
      <c r="G64" s="857"/>
    </row>
    <row r="65" spans="1:8" ht="14.25" customHeight="1">
      <c r="A65" s="804" t="s">
        <v>237</v>
      </c>
      <c r="B65" s="799"/>
      <c r="C65" s="799"/>
      <c r="D65" s="855"/>
      <c r="E65" s="855"/>
      <c r="F65" s="855"/>
      <c r="G65" s="857"/>
    </row>
    <row r="66" spans="1:8" ht="14.25" customHeight="1">
      <c r="A66" s="804" t="s">
        <v>141</v>
      </c>
      <c r="B66" s="799"/>
      <c r="C66" s="799"/>
      <c r="D66" s="855"/>
      <c r="E66" s="855"/>
      <c r="F66" s="855"/>
      <c r="G66" s="857"/>
    </row>
    <row r="67" spans="1:8" ht="14.25" customHeight="1">
      <c r="A67" s="804" t="s">
        <v>238</v>
      </c>
      <c r="B67" s="799"/>
      <c r="C67" s="799"/>
      <c r="D67" s="855"/>
      <c r="E67" s="855"/>
      <c r="F67" s="855"/>
      <c r="G67" s="857"/>
    </row>
    <row r="68" spans="1:8" ht="14.25" customHeight="1">
      <c r="A68" s="804" t="s">
        <v>142</v>
      </c>
      <c r="B68" s="799"/>
      <c r="C68" s="799"/>
      <c r="D68" s="855"/>
      <c r="E68" s="855"/>
      <c r="F68" s="855"/>
      <c r="G68" s="857"/>
    </row>
    <row r="69" spans="1:8" ht="14.25" customHeight="1">
      <c r="A69" s="804" t="s">
        <v>143</v>
      </c>
      <c r="B69" s="799"/>
      <c r="C69" s="799"/>
      <c r="D69" s="855"/>
      <c r="E69" s="855"/>
      <c r="F69" s="855"/>
      <c r="G69" s="857"/>
    </row>
    <row r="70" spans="1:8" ht="14.25" customHeight="1">
      <c r="A70" s="804" t="s">
        <v>144</v>
      </c>
      <c r="B70" s="799"/>
      <c r="C70" s="799"/>
      <c r="D70" s="855"/>
      <c r="E70" s="855"/>
      <c r="F70" s="855"/>
      <c r="G70" s="857"/>
    </row>
    <row r="71" spans="1:8" ht="14.25" customHeight="1">
      <c r="A71" s="804" t="s">
        <v>145</v>
      </c>
      <c r="B71" s="803"/>
      <c r="C71" s="803"/>
      <c r="D71" s="855"/>
      <c r="E71" s="855"/>
      <c r="F71" s="855"/>
      <c r="G71" s="857"/>
    </row>
    <row r="72" spans="1:8" ht="14.25" customHeight="1">
      <c r="A72" s="804" t="s">
        <v>146</v>
      </c>
      <c r="B72" s="803"/>
      <c r="C72" s="803"/>
      <c r="D72" s="855"/>
      <c r="E72" s="855"/>
      <c r="F72" s="855"/>
      <c r="G72" s="857"/>
    </row>
    <row r="73" spans="1:8" ht="14.25" customHeight="1">
      <c r="A73" s="804" t="s">
        <v>147</v>
      </c>
      <c r="B73" s="803"/>
      <c r="C73" s="803"/>
      <c r="D73" s="855"/>
      <c r="E73" s="855"/>
      <c r="F73" s="855"/>
      <c r="G73" s="857"/>
    </row>
    <row r="74" spans="1:8" ht="14.25" customHeight="1">
      <c r="A74" s="804" t="s">
        <v>165</v>
      </c>
      <c r="B74" s="803"/>
      <c r="C74" s="803"/>
      <c r="D74" s="855"/>
      <c r="E74" s="855"/>
      <c r="F74" s="855"/>
      <c r="G74" s="857"/>
    </row>
    <row r="75" spans="1:8" ht="14.25" customHeight="1">
      <c r="A75" s="799"/>
      <c r="B75" s="799"/>
      <c r="C75" s="799"/>
      <c r="D75" s="799"/>
      <c r="E75" s="799"/>
      <c r="F75" s="799"/>
    </row>
    <row r="76" spans="1:8" ht="14.25" customHeight="1">
      <c r="A76" s="800" t="s">
        <v>175</v>
      </c>
      <c r="B76" s="831" t="s">
        <v>134</v>
      </c>
      <c r="C76" s="831" t="s">
        <v>135</v>
      </c>
      <c r="D76" s="831" t="s">
        <v>136</v>
      </c>
      <c r="E76" s="831" t="s">
        <v>137</v>
      </c>
      <c r="F76" s="831" t="s">
        <v>138</v>
      </c>
      <c r="G76" s="800" t="s">
        <v>148</v>
      </c>
      <c r="H76" s="800" t="s">
        <v>156</v>
      </c>
    </row>
    <row r="77" spans="1:8" ht="14.25" customHeight="1">
      <c r="A77" s="804" t="s">
        <v>235</v>
      </c>
      <c r="B77" s="799"/>
      <c r="C77" s="799"/>
      <c r="D77" s="855"/>
      <c r="E77" s="855"/>
      <c r="F77" s="855"/>
      <c r="G77" s="856"/>
      <c r="H77" s="799"/>
    </row>
    <row r="78" spans="1:8" ht="14.25" customHeight="1">
      <c r="A78" s="804" t="s">
        <v>139</v>
      </c>
      <c r="B78" s="799"/>
      <c r="C78" s="799"/>
      <c r="D78" s="855"/>
      <c r="E78" s="855"/>
      <c r="F78" s="855"/>
      <c r="G78" s="857"/>
    </row>
    <row r="79" spans="1:8" ht="14.25" customHeight="1">
      <c r="A79" s="804" t="s">
        <v>236</v>
      </c>
      <c r="B79" s="799"/>
      <c r="C79" s="799"/>
      <c r="D79" s="855"/>
      <c r="E79" s="855"/>
      <c r="F79" s="855"/>
      <c r="G79" s="857"/>
    </row>
    <row r="80" spans="1:8" ht="14.25" customHeight="1">
      <c r="A80" s="804" t="s">
        <v>140</v>
      </c>
      <c r="B80" s="799"/>
      <c r="C80" s="799"/>
      <c r="D80" s="855"/>
      <c r="E80" s="855"/>
      <c r="F80" s="855"/>
      <c r="G80" s="857"/>
    </row>
    <row r="81" spans="1:9" ht="14.25" customHeight="1">
      <c r="A81" s="804" t="s">
        <v>237</v>
      </c>
      <c r="B81" s="799"/>
      <c r="C81" s="799"/>
      <c r="D81" s="855"/>
      <c r="E81" s="855"/>
      <c r="F81" s="855"/>
      <c r="G81" s="857"/>
    </row>
    <row r="82" spans="1:9" ht="14.25" customHeight="1">
      <c r="A82" s="804" t="s">
        <v>141</v>
      </c>
      <c r="B82" s="799"/>
      <c r="C82" s="799"/>
      <c r="D82" s="855"/>
      <c r="E82" s="855"/>
      <c r="F82" s="855"/>
      <c r="G82" s="857"/>
    </row>
    <row r="83" spans="1:9" ht="14.25" customHeight="1">
      <c r="A83" s="804" t="s">
        <v>238</v>
      </c>
      <c r="B83" s="799"/>
      <c r="C83" s="799"/>
      <c r="D83" s="855"/>
      <c r="E83" s="855"/>
      <c r="F83" s="855"/>
      <c r="G83" s="857"/>
    </row>
    <row r="84" spans="1:9" ht="14.25" customHeight="1">
      <c r="A84" s="804" t="s">
        <v>142</v>
      </c>
      <c r="B84" s="799"/>
      <c r="C84" s="799"/>
      <c r="D84" s="855"/>
      <c r="E84" s="855"/>
      <c r="F84" s="855"/>
      <c r="G84" s="857"/>
    </row>
    <row r="85" spans="1:9" ht="14.25" customHeight="1">
      <c r="A85" s="804" t="s">
        <v>143</v>
      </c>
      <c r="B85" s="799"/>
      <c r="C85" s="799"/>
      <c r="D85" s="855"/>
      <c r="E85" s="855"/>
      <c r="F85" s="855"/>
      <c r="G85" s="857"/>
    </row>
    <row r="86" spans="1:9" ht="14.25" customHeight="1">
      <c r="A86" s="804" t="s">
        <v>144</v>
      </c>
      <c r="B86" s="803"/>
      <c r="C86" s="803"/>
      <c r="D86" s="855"/>
      <c r="E86" s="855"/>
      <c r="F86" s="855"/>
      <c r="G86" s="857"/>
    </row>
    <row r="87" spans="1:9" ht="14.25" customHeight="1">
      <c r="A87" s="804" t="s">
        <v>145</v>
      </c>
      <c r="B87" s="803"/>
      <c r="C87" s="803"/>
      <c r="D87" s="855"/>
      <c r="E87" s="855"/>
      <c r="F87" s="855"/>
      <c r="G87" s="857"/>
    </row>
    <row r="88" spans="1:9" ht="14.25" customHeight="1">
      <c r="A88" s="804" t="s">
        <v>146</v>
      </c>
      <c r="B88" s="803"/>
      <c r="C88" s="803"/>
      <c r="D88" s="855"/>
      <c r="E88" s="855"/>
      <c r="F88" s="855"/>
      <c r="G88" s="857"/>
    </row>
    <row r="89" spans="1:9" ht="14.25" customHeight="1">
      <c r="A89" s="804" t="s">
        <v>147</v>
      </c>
      <c r="B89" s="803"/>
      <c r="C89" s="803"/>
      <c r="D89" s="855"/>
      <c r="E89" s="855"/>
      <c r="F89" s="855"/>
      <c r="G89" s="857"/>
    </row>
    <row r="90" spans="1:9" ht="14.25" customHeight="1">
      <c r="A90" s="804" t="s">
        <v>165</v>
      </c>
      <c r="B90" s="803"/>
      <c r="C90" s="803"/>
      <c r="D90" s="855"/>
      <c r="E90" s="855"/>
      <c r="F90" s="855"/>
      <c r="G90" s="857"/>
    </row>
    <row r="91" spans="1:9" s="1358" customFormat="1" ht="14.25" customHeight="1">
      <c r="A91" s="804"/>
      <c r="B91" s="803"/>
      <c r="C91" s="803"/>
      <c r="D91" s="855"/>
      <c r="E91" s="855"/>
      <c r="F91" s="855"/>
      <c r="G91" s="857"/>
    </row>
    <row r="92" spans="1:9" ht="14.25" customHeight="1">
      <c r="A92" s="53" t="s">
        <v>1517</v>
      </c>
      <c r="B92" s="799"/>
      <c r="C92" s="799"/>
      <c r="D92" s="799"/>
      <c r="E92" s="799"/>
      <c r="F92" s="799"/>
      <c r="G92" s="799"/>
      <c r="H92" s="799"/>
      <c r="I92" s="799"/>
    </row>
    <row r="93" spans="1:9" ht="14.25" customHeight="1">
      <c r="A93" s="55"/>
      <c r="B93" s="1357" t="s">
        <v>150</v>
      </c>
      <c r="C93" s="1357" t="s">
        <v>136</v>
      </c>
      <c r="D93" s="1357" t="s">
        <v>150</v>
      </c>
      <c r="E93" s="1357" t="s">
        <v>136</v>
      </c>
      <c r="F93" s="1357" t="s">
        <v>150</v>
      </c>
      <c r="G93" s="1360" t="s">
        <v>136</v>
      </c>
      <c r="H93" s="1360" t="s">
        <v>150</v>
      </c>
      <c r="I93" s="1360" t="s">
        <v>136</v>
      </c>
    </row>
    <row r="94" spans="1:9" ht="14.25" customHeight="1">
      <c r="A94" s="804" t="s">
        <v>235</v>
      </c>
      <c r="B94" s="799"/>
      <c r="C94" s="799"/>
      <c r="D94" s="855"/>
      <c r="E94" s="855"/>
      <c r="F94" s="855"/>
      <c r="G94" s="1359"/>
      <c r="H94" s="799"/>
      <c r="I94" s="799"/>
    </row>
    <row r="95" spans="1:9" ht="14.25" customHeight="1">
      <c r="A95" s="804" t="s">
        <v>139</v>
      </c>
      <c r="B95" s="53" t="s">
        <v>151</v>
      </c>
      <c r="C95" s="799"/>
      <c r="D95" s="82" t="s">
        <v>151</v>
      </c>
      <c r="E95" s="855"/>
      <c r="F95" s="82" t="s">
        <v>151</v>
      </c>
      <c r="G95" s="855"/>
      <c r="H95" s="53" t="s">
        <v>151</v>
      </c>
      <c r="I95" s="799"/>
    </row>
    <row r="96" spans="1:9" ht="14.25" customHeight="1">
      <c r="A96" s="804" t="s">
        <v>236</v>
      </c>
      <c r="B96" s="799"/>
      <c r="C96" s="799"/>
      <c r="D96" s="855"/>
      <c r="E96" s="855"/>
      <c r="F96" s="855"/>
      <c r="G96" s="855"/>
      <c r="H96" s="799"/>
      <c r="I96" s="799"/>
    </row>
    <row r="97" spans="1:9" ht="14.25" customHeight="1">
      <c r="A97" s="804" t="s">
        <v>140</v>
      </c>
      <c r="B97" s="799"/>
      <c r="C97" s="799"/>
      <c r="D97" s="855"/>
      <c r="E97" s="855"/>
      <c r="F97" s="855"/>
      <c r="G97" s="855"/>
      <c r="H97" s="799"/>
      <c r="I97" s="799"/>
    </row>
    <row r="98" spans="1:9" ht="14.25" customHeight="1">
      <c r="A98" s="804" t="s">
        <v>237</v>
      </c>
      <c r="B98" s="799"/>
      <c r="C98" s="799"/>
      <c r="D98" s="855"/>
      <c r="E98" s="855"/>
      <c r="F98" s="855"/>
      <c r="G98" s="855"/>
      <c r="H98" s="799"/>
      <c r="I98" s="799"/>
    </row>
    <row r="99" spans="1:9" ht="14.25" customHeight="1">
      <c r="A99" s="804" t="s">
        <v>141</v>
      </c>
      <c r="B99" s="799"/>
      <c r="C99" s="799"/>
      <c r="D99" s="855"/>
      <c r="E99" s="855"/>
      <c r="F99" s="855"/>
      <c r="G99" s="855"/>
      <c r="H99" s="799"/>
      <c r="I99" s="799"/>
    </row>
    <row r="100" spans="1:9" ht="14.25" customHeight="1">
      <c r="A100" s="804" t="s">
        <v>238</v>
      </c>
      <c r="B100" s="799"/>
      <c r="C100" s="799"/>
      <c r="D100" s="855"/>
      <c r="E100" s="855"/>
      <c r="F100" s="855"/>
      <c r="G100" s="855"/>
      <c r="H100" s="799"/>
      <c r="I100" s="799"/>
    </row>
    <row r="101" spans="1:9" ht="14.25" customHeight="1">
      <c r="A101" s="804" t="s">
        <v>142</v>
      </c>
      <c r="B101" s="799"/>
      <c r="C101" s="799"/>
      <c r="D101" s="855"/>
      <c r="E101" s="855"/>
      <c r="F101" s="855"/>
      <c r="G101" s="855"/>
      <c r="H101" s="799"/>
      <c r="I101" s="799"/>
    </row>
    <row r="102" spans="1:9" ht="14.25" customHeight="1">
      <c r="A102" s="804" t="s">
        <v>143</v>
      </c>
      <c r="B102" s="799"/>
      <c r="C102" s="799"/>
      <c r="D102" s="855"/>
      <c r="E102" s="855"/>
      <c r="F102" s="855"/>
      <c r="G102" s="855"/>
      <c r="H102" s="799"/>
      <c r="I102" s="799"/>
    </row>
    <row r="103" spans="1:9" ht="14.25" customHeight="1">
      <c r="A103" s="804" t="s">
        <v>144</v>
      </c>
      <c r="B103" s="799"/>
      <c r="C103" s="799"/>
      <c r="D103" s="855"/>
      <c r="E103" s="855"/>
      <c r="F103" s="855"/>
      <c r="G103" s="855"/>
      <c r="H103" s="799"/>
      <c r="I103" s="799"/>
    </row>
    <row r="104" spans="1:9" ht="14.25" customHeight="1">
      <c r="A104" s="118" t="s">
        <v>145</v>
      </c>
      <c r="B104" s="799"/>
      <c r="C104" s="799"/>
      <c r="D104" s="855"/>
      <c r="E104" s="855"/>
      <c r="F104" s="855"/>
      <c r="G104" s="855"/>
      <c r="H104" s="799"/>
      <c r="I104" s="799"/>
    </row>
    <row r="105" spans="1:9" ht="14.25" customHeight="1">
      <c r="A105" s="118" t="s">
        <v>146</v>
      </c>
      <c r="B105" s="799"/>
      <c r="C105" s="799"/>
      <c r="D105" s="855"/>
      <c r="E105" s="855"/>
      <c r="F105" s="855"/>
      <c r="G105" s="855"/>
      <c r="H105" s="799"/>
      <c r="I105" s="799"/>
    </row>
    <row r="106" spans="1:9" ht="14.25" customHeight="1">
      <c r="A106" s="118" t="s">
        <v>147</v>
      </c>
      <c r="B106" s="799"/>
      <c r="C106" s="799"/>
      <c r="D106" s="799"/>
      <c r="E106" s="799"/>
      <c r="F106" s="799"/>
      <c r="G106" s="799"/>
      <c r="H106" s="799"/>
      <c r="I106" s="799"/>
    </row>
    <row r="107" spans="1:9" s="1358" customFormat="1" ht="14.25" customHeight="1">
      <c r="A107" s="118" t="s">
        <v>165</v>
      </c>
      <c r="B107" s="799"/>
      <c r="C107" s="799"/>
      <c r="D107" s="799"/>
      <c r="E107" s="799"/>
      <c r="F107" s="799"/>
      <c r="G107" s="799"/>
      <c r="H107" s="799"/>
      <c r="I107" s="799"/>
    </row>
    <row r="108" spans="1:9" s="1358" customFormat="1" ht="14.25" customHeight="1">
      <c r="A108" s="118" t="s">
        <v>166</v>
      </c>
      <c r="B108" s="799"/>
      <c r="C108" s="799"/>
      <c r="D108" s="799"/>
      <c r="E108" s="799"/>
      <c r="F108" s="799"/>
      <c r="G108" s="799"/>
      <c r="H108" s="799"/>
      <c r="I108" s="799"/>
    </row>
    <row r="109" spans="1:9" ht="14.25" customHeight="1">
      <c r="A109" s="55" t="s">
        <v>1529</v>
      </c>
      <c r="B109" s="831" t="s">
        <v>134</v>
      </c>
      <c r="C109" s="831" t="s">
        <v>135</v>
      </c>
      <c r="D109" s="831" t="s">
        <v>136</v>
      </c>
      <c r="E109" s="831" t="s">
        <v>137</v>
      </c>
      <c r="F109" s="831" t="s">
        <v>138</v>
      </c>
      <c r="G109" s="800" t="s">
        <v>148</v>
      </c>
      <c r="H109" s="848" t="s">
        <v>156</v>
      </c>
    </row>
    <row r="110" spans="1:9" ht="14.25" customHeight="1">
      <c r="A110" s="804" t="s">
        <v>235</v>
      </c>
      <c r="B110" s="799"/>
      <c r="C110" s="799"/>
      <c r="D110" s="855"/>
      <c r="E110" s="855"/>
      <c r="F110" s="855"/>
      <c r="G110" s="799"/>
      <c r="H110" s="799"/>
    </row>
    <row r="111" spans="1:9" ht="14.25" customHeight="1">
      <c r="A111" s="804" t="s">
        <v>139</v>
      </c>
      <c r="B111" s="799"/>
      <c r="C111" s="799"/>
      <c r="D111" s="855"/>
      <c r="E111" s="855"/>
      <c r="F111" s="855"/>
      <c r="G111" s="855"/>
      <c r="H111" s="799"/>
    </row>
    <row r="112" spans="1:9" ht="14.25" customHeight="1">
      <c r="A112" s="804" t="s">
        <v>236</v>
      </c>
      <c r="B112" s="799"/>
      <c r="C112" s="799"/>
      <c r="D112" s="855"/>
      <c r="E112" s="855"/>
      <c r="F112" s="855"/>
      <c r="G112" s="855"/>
      <c r="H112" s="799"/>
    </row>
    <row r="113" spans="1:9" ht="14.25" customHeight="1">
      <c r="A113" s="804" t="s">
        <v>140</v>
      </c>
      <c r="B113" s="799"/>
      <c r="C113" s="799"/>
      <c r="D113" s="855"/>
      <c r="E113" s="855"/>
      <c r="F113" s="855"/>
      <c r="G113" s="855"/>
      <c r="H113" s="799"/>
    </row>
    <row r="114" spans="1:9" ht="14.25" customHeight="1">
      <c r="A114" s="804" t="s">
        <v>237</v>
      </c>
      <c r="B114" s="799"/>
      <c r="C114" s="799"/>
      <c r="D114" s="855"/>
      <c r="E114" s="855"/>
      <c r="F114" s="855"/>
      <c r="G114" s="855"/>
      <c r="H114" s="799"/>
    </row>
    <row r="115" spans="1:9" ht="14.25" customHeight="1">
      <c r="A115" s="804" t="s">
        <v>141</v>
      </c>
      <c r="B115" s="799"/>
      <c r="C115" s="799"/>
      <c r="D115" s="855"/>
      <c r="E115" s="855"/>
      <c r="F115" s="855"/>
      <c r="G115" s="855"/>
      <c r="H115" s="799"/>
    </row>
    <row r="116" spans="1:9" ht="14.25" customHeight="1">
      <c r="A116" s="804" t="s">
        <v>238</v>
      </c>
      <c r="B116" s="799"/>
      <c r="C116" s="799"/>
      <c r="D116" s="855"/>
      <c r="E116" s="855"/>
      <c r="F116" s="855"/>
      <c r="G116" s="855"/>
      <c r="H116" s="799"/>
    </row>
    <row r="117" spans="1:9" ht="14.25" customHeight="1">
      <c r="A117" s="804" t="s">
        <v>142</v>
      </c>
      <c r="B117" s="799"/>
      <c r="C117" s="799"/>
      <c r="D117" s="855"/>
      <c r="E117" s="855"/>
      <c r="F117" s="855"/>
      <c r="G117" s="855"/>
      <c r="H117" s="799"/>
    </row>
    <row r="118" spans="1:9" ht="14.25" customHeight="1">
      <c r="A118" s="804" t="s">
        <v>143</v>
      </c>
      <c r="B118" s="799"/>
      <c r="C118" s="799"/>
      <c r="D118" s="855"/>
      <c r="E118" s="855"/>
      <c r="F118" s="855"/>
      <c r="G118" s="855"/>
      <c r="H118" s="799"/>
    </row>
    <row r="119" spans="1:9" ht="14.25" customHeight="1">
      <c r="A119" s="804"/>
      <c r="B119" s="799"/>
      <c r="C119" s="799"/>
      <c r="D119" s="799"/>
      <c r="E119" s="799"/>
      <c r="F119" s="799"/>
      <c r="G119" s="799"/>
      <c r="H119" s="799"/>
    </row>
    <row r="120" spans="1:9" ht="14.25" customHeight="1">
      <c r="A120" s="118" t="s">
        <v>1530</v>
      </c>
      <c r="B120" s="812"/>
      <c r="C120" s="812"/>
      <c r="D120" s="812"/>
      <c r="E120" s="812"/>
      <c r="F120" s="812"/>
      <c r="G120" s="812"/>
      <c r="H120" s="812"/>
      <c r="I120" s="794"/>
    </row>
    <row r="121" spans="1:9" ht="14.25" customHeight="1">
      <c r="A121" s="804" t="s">
        <v>235</v>
      </c>
      <c r="B121" s="799"/>
      <c r="C121" s="799"/>
      <c r="D121" s="799"/>
      <c r="E121" s="799"/>
      <c r="F121" s="799"/>
      <c r="G121" s="799"/>
      <c r="H121" s="799"/>
    </row>
    <row r="122" spans="1:9" ht="14.25" customHeight="1">
      <c r="A122" s="804" t="s">
        <v>139</v>
      </c>
      <c r="B122" s="799"/>
      <c r="C122" s="799"/>
      <c r="D122" s="799"/>
      <c r="E122" s="799"/>
      <c r="F122" s="799"/>
      <c r="G122" s="799"/>
      <c r="H122" s="799"/>
    </row>
    <row r="123" spans="1:9" ht="14.25" customHeight="1">
      <c r="A123" s="804" t="s">
        <v>236</v>
      </c>
      <c r="B123" s="799"/>
      <c r="C123" s="799"/>
      <c r="D123" s="799"/>
      <c r="E123" s="799"/>
      <c r="F123" s="799"/>
      <c r="G123" s="799"/>
      <c r="H123" s="799"/>
    </row>
    <row r="124" spans="1:9" ht="14.25" customHeight="1">
      <c r="A124" s="804" t="s">
        <v>140</v>
      </c>
      <c r="B124" s="799"/>
      <c r="C124" s="799"/>
      <c r="D124" s="799"/>
      <c r="E124" s="799"/>
      <c r="F124" s="799"/>
      <c r="G124" s="799"/>
      <c r="H124" s="799"/>
    </row>
    <row r="125" spans="1:9" ht="14.25" customHeight="1">
      <c r="A125" s="804" t="s">
        <v>237</v>
      </c>
      <c r="B125" s="799"/>
      <c r="C125" s="799"/>
      <c r="D125" s="799"/>
      <c r="E125" s="799"/>
      <c r="F125" s="799"/>
      <c r="G125" s="799"/>
      <c r="H125" s="799"/>
    </row>
    <row r="126" spans="1:9" ht="14.25" customHeight="1">
      <c r="A126" s="804" t="s">
        <v>141</v>
      </c>
      <c r="B126" s="799"/>
      <c r="C126" s="799"/>
      <c r="D126" s="799"/>
      <c r="E126" s="799"/>
      <c r="F126" s="799"/>
      <c r="G126" s="799"/>
      <c r="H126" s="799"/>
    </row>
    <row r="127" spans="1:9" ht="14.25" customHeight="1">
      <c r="A127" s="804" t="s">
        <v>238</v>
      </c>
      <c r="B127" s="799"/>
      <c r="C127" s="799"/>
      <c r="D127" s="799"/>
      <c r="E127" s="799"/>
      <c r="F127" s="799"/>
      <c r="G127" s="799"/>
      <c r="H127" s="799"/>
    </row>
    <row r="128" spans="1:9" ht="14.25" customHeight="1">
      <c r="A128" s="804" t="s">
        <v>142</v>
      </c>
      <c r="B128" s="799"/>
      <c r="C128" s="799"/>
      <c r="D128" s="799"/>
      <c r="E128" s="799"/>
      <c r="F128" s="799"/>
      <c r="G128" s="799"/>
      <c r="H128" s="799"/>
    </row>
    <row r="133" spans="1:9" ht="14.25" customHeight="1">
      <c r="A133" s="853"/>
    </row>
    <row r="134" spans="1:9" ht="14.25" customHeight="1">
      <c r="A134" s="794"/>
      <c r="B134" s="858"/>
      <c r="C134" s="858"/>
      <c r="D134" s="858"/>
      <c r="E134" s="858"/>
      <c r="F134" s="858"/>
      <c r="G134" s="858"/>
      <c r="H134" s="794"/>
      <c r="I134" s="794"/>
    </row>
    <row r="135" spans="1:9" ht="14.25" customHeight="1">
      <c r="A135" s="858"/>
      <c r="D135" s="857"/>
      <c r="E135" s="857"/>
      <c r="F135" s="857"/>
      <c r="G135" s="857"/>
    </row>
    <row r="136" spans="1:9" ht="14.25" customHeight="1">
      <c r="A136" s="858"/>
      <c r="D136" s="857"/>
      <c r="E136" s="857"/>
      <c r="F136" s="857"/>
      <c r="G136" s="857"/>
    </row>
    <row r="137" spans="1:9" ht="14.25" customHeight="1">
      <c r="A137" s="858"/>
      <c r="D137" s="857"/>
      <c r="E137" s="857"/>
      <c r="F137" s="857"/>
      <c r="G137" s="857"/>
    </row>
    <row r="138" spans="1:9" ht="14.25" customHeight="1">
      <c r="A138" s="858"/>
      <c r="D138" s="857"/>
      <c r="E138" s="857"/>
      <c r="F138" s="857"/>
      <c r="G138" s="857"/>
    </row>
    <row r="139" spans="1:9" ht="14.25" customHeight="1">
      <c r="A139" s="858"/>
      <c r="D139" s="857"/>
      <c r="E139" s="857"/>
      <c r="F139" s="857"/>
      <c r="G139" s="857"/>
    </row>
    <row r="140" spans="1:9" ht="14.25" customHeight="1">
      <c r="A140" s="858"/>
      <c r="D140" s="857"/>
      <c r="E140" s="857"/>
      <c r="F140" s="857"/>
      <c r="G140" s="857"/>
    </row>
    <row r="141" spans="1:9" ht="14.25" customHeight="1">
      <c r="A141" s="858"/>
      <c r="D141" s="857"/>
      <c r="E141" s="857"/>
      <c r="F141" s="857"/>
      <c r="G141" s="857"/>
    </row>
    <row r="142" spans="1:9" ht="14.25" customHeight="1">
      <c r="A142" s="858"/>
      <c r="D142" s="857"/>
      <c r="E142" s="857"/>
      <c r="F142" s="857"/>
      <c r="G142" s="857"/>
    </row>
    <row r="143" spans="1:9" ht="14.25" customHeight="1">
      <c r="A143" s="858"/>
      <c r="D143" s="857"/>
      <c r="E143" s="857"/>
      <c r="F143" s="857"/>
      <c r="G143" s="857"/>
    </row>
    <row r="144" spans="1:9" ht="14.25" customHeight="1">
      <c r="A144" s="858"/>
    </row>
    <row r="145" spans="1:7" ht="14.25" customHeight="1">
      <c r="A145" s="2581"/>
      <c r="B145" s="2581"/>
      <c r="C145" s="2581"/>
      <c r="D145" s="2581"/>
      <c r="E145" s="2581"/>
      <c r="F145" s="2581"/>
      <c r="G145" s="2581"/>
    </row>
    <row r="146" spans="1:7" ht="14.25" customHeight="1">
      <c r="A146" s="2581"/>
      <c r="B146" s="2581"/>
      <c r="C146" s="859"/>
      <c r="D146" s="860"/>
      <c r="E146" s="860"/>
      <c r="F146" s="860"/>
      <c r="G146" s="860"/>
    </row>
    <row r="147" spans="1:7" ht="14.25" customHeight="1">
      <c r="A147" s="859"/>
      <c r="B147" s="859"/>
      <c r="C147" s="859"/>
      <c r="D147" s="860"/>
      <c r="E147" s="860"/>
      <c r="F147" s="860"/>
      <c r="G147" s="860"/>
    </row>
  </sheetData>
  <mergeCells count="28">
    <mergeCell ref="G44:H44"/>
    <mergeCell ref="E44:F44"/>
    <mergeCell ref="A146:B146"/>
    <mergeCell ref="A145:G145"/>
    <mergeCell ref="B58:G58"/>
    <mergeCell ref="G49:H49"/>
    <mergeCell ref="E49:F49"/>
    <mergeCell ref="X46:AE46"/>
    <mergeCell ref="X47:AE47"/>
    <mergeCell ref="X39:AE39"/>
    <mergeCell ref="X40:AE40"/>
    <mergeCell ref="X44:AE44"/>
    <mergeCell ref="X45:AE45"/>
    <mergeCell ref="W1:Y1"/>
    <mergeCell ref="AB2:AE2"/>
    <mergeCell ref="X2:Z2"/>
    <mergeCell ref="X38:AE38"/>
    <mergeCell ref="P2:Q2"/>
    <mergeCell ref="S12:T12"/>
    <mergeCell ref="N18:R18"/>
    <mergeCell ref="N19:R19"/>
    <mergeCell ref="W37:Y37"/>
    <mergeCell ref="A1:G1"/>
    <mergeCell ref="A34:H34"/>
    <mergeCell ref="A37:B37"/>
    <mergeCell ref="E37:F37"/>
    <mergeCell ref="C37:D37"/>
    <mergeCell ref="G37:H37"/>
  </mergeCells>
  <phoneticPr fontId="38" type="noConversion"/>
  <pageMargins left="1" right="0.25" top="0.49" bottom="0.75" header="0.3" footer="0.3"/>
  <pageSetup orientation="portrait" horizontalDpi="360" verticalDpi="36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  <pageSetUpPr fitToPage="1"/>
  </sheetPr>
  <dimension ref="A1:Y102"/>
  <sheetViews>
    <sheetView workbookViewId="0">
      <selection activeCell="M5" sqref="M5"/>
    </sheetView>
  </sheetViews>
  <sheetFormatPr defaultColWidth="8.54296875" defaultRowHeight="14"/>
  <cols>
    <col min="1" max="1" width="17.08984375" style="862" customWidth="1"/>
    <col min="2" max="2" width="11.7265625" style="862" customWidth="1"/>
    <col min="3" max="3" width="10.08984375" style="862" bestFit="1" customWidth="1"/>
    <col min="4" max="4" width="11" style="862" customWidth="1"/>
    <col min="5" max="5" width="8.6328125" style="862" bestFit="1" customWidth="1"/>
    <col min="6" max="6" width="9.81640625" style="862" bestFit="1" customWidth="1"/>
    <col min="7" max="7" width="9.26953125" style="862" customWidth="1"/>
    <col min="8" max="8" width="11.90625" style="862" customWidth="1"/>
    <col min="9" max="9" width="8.26953125" style="862" bestFit="1" customWidth="1"/>
    <col min="10" max="10" width="7.453125" style="862" customWidth="1"/>
    <col min="11" max="13" width="8.54296875" style="862"/>
    <col min="14" max="14" width="12.1796875" style="862" customWidth="1"/>
    <col min="15" max="15" width="12.26953125" style="862" customWidth="1"/>
    <col min="16" max="16" width="7.453125" style="862" customWidth="1"/>
    <col min="17" max="17" width="5.1796875" style="862" bestFit="1" customWidth="1"/>
    <col min="18" max="18" width="5.453125" style="862" bestFit="1" customWidth="1"/>
    <col min="19" max="19" width="7.08984375" style="862" customWidth="1"/>
    <col min="20" max="20" width="5.1796875" style="862" bestFit="1" customWidth="1"/>
    <col min="21" max="21" width="5.453125" style="862" bestFit="1" customWidth="1"/>
    <col min="22" max="22" width="7.1796875" style="862" customWidth="1"/>
    <col min="23" max="23" width="5.1796875" style="862" bestFit="1" customWidth="1"/>
    <col min="24" max="24" width="5.453125" style="862" bestFit="1" customWidth="1"/>
    <col min="25" max="25" width="7.1796875" style="862" customWidth="1"/>
    <col min="26" max="16384" width="8.54296875" style="862"/>
  </cols>
  <sheetData>
    <row r="1" spans="1:12">
      <c r="A1" s="861"/>
      <c r="B1" s="2598" t="s">
        <v>1334</v>
      </c>
      <c r="C1" s="2584"/>
      <c r="D1" s="2584"/>
      <c r="E1" s="2584"/>
      <c r="F1" s="2584"/>
      <c r="G1" s="2584"/>
      <c r="H1" s="2584"/>
      <c r="I1" s="2585"/>
    </row>
    <row r="2" spans="1:12">
      <c r="A2" s="861" t="s">
        <v>907</v>
      </c>
      <c r="B2" s="2586" t="s">
        <v>1537</v>
      </c>
      <c r="C2" s="2587"/>
      <c r="D2" s="2587"/>
      <c r="E2" s="2587"/>
      <c r="F2" s="2587"/>
      <c r="G2" s="2587"/>
      <c r="H2" s="2587"/>
      <c r="I2" s="2587"/>
    </row>
    <row r="3" spans="1:12">
      <c r="A3" s="861" t="s">
        <v>255</v>
      </c>
      <c r="B3" s="863" t="s">
        <v>896</v>
      </c>
      <c r="C3" s="863"/>
      <c r="D3" s="863" t="s">
        <v>900</v>
      </c>
      <c r="E3" s="863"/>
      <c r="F3" s="2608"/>
      <c r="G3" s="2609"/>
      <c r="H3" s="2609"/>
      <c r="I3" s="2610"/>
    </row>
    <row r="4" spans="1:12">
      <c r="A4" s="861" t="s">
        <v>132</v>
      </c>
      <c r="B4" s="2601">
        <v>43753</v>
      </c>
      <c r="C4" s="2601"/>
      <c r="D4" s="2591"/>
      <c r="E4" s="2592"/>
      <c r="F4" s="2592"/>
      <c r="G4" s="2592"/>
      <c r="H4" s="2592"/>
      <c r="I4" s="2593"/>
    </row>
    <row r="5" spans="1:12">
      <c r="I5" s="106"/>
    </row>
    <row r="6" spans="1:12" ht="39">
      <c r="A6" s="864" t="s">
        <v>9</v>
      </c>
      <c r="B6" s="865" t="s">
        <v>882</v>
      </c>
      <c r="C6" s="1366" t="s">
        <v>877</v>
      </c>
      <c r="D6" s="1366" t="s">
        <v>895</v>
      </c>
      <c r="E6" s="1366" t="s">
        <v>874</v>
      </c>
      <c r="F6" s="1366" t="s">
        <v>872</v>
      </c>
      <c r="G6" s="865" t="s">
        <v>1194</v>
      </c>
      <c r="H6" s="1366" t="s">
        <v>1192</v>
      </c>
      <c r="I6" s="1366" t="s">
        <v>873</v>
      </c>
      <c r="J6" s="1020" t="s">
        <v>1285</v>
      </c>
      <c r="K6" s="1366" t="s">
        <v>740</v>
      </c>
    </row>
    <row r="7" spans="1:12">
      <c r="A7" s="864" t="s">
        <v>134</v>
      </c>
      <c r="B7" s="866"/>
      <c r="C7" s="866"/>
      <c r="D7" s="866"/>
      <c r="E7" s="866"/>
      <c r="F7" s="866"/>
      <c r="G7" s="866"/>
      <c r="H7" s="866"/>
      <c r="I7" s="866"/>
      <c r="J7" s="866"/>
      <c r="K7" s="866"/>
    </row>
    <row r="8" spans="1:12">
      <c r="A8" s="864" t="s">
        <v>317</v>
      </c>
      <c r="B8" s="866"/>
      <c r="C8" s="866"/>
      <c r="D8" s="866"/>
      <c r="E8" s="866"/>
      <c r="F8" s="866"/>
      <c r="G8" s="866"/>
      <c r="H8" s="866"/>
      <c r="I8" s="866"/>
      <c r="J8" s="31"/>
      <c r="K8" s="31"/>
    </row>
    <row r="9" spans="1:12">
      <c r="A9" s="864" t="s">
        <v>875</v>
      </c>
      <c r="B9" s="866"/>
      <c r="C9" s="866"/>
      <c r="D9" s="866"/>
      <c r="E9" s="866"/>
      <c r="F9" s="866"/>
      <c r="G9" s="866"/>
      <c r="H9" s="866"/>
      <c r="I9" s="866"/>
      <c r="J9" s="868"/>
      <c r="K9" s="868"/>
    </row>
    <row r="10" spans="1:12">
      <c r="A10" s="867" t="s">
        <v>876</v>
      </c>
      <c r="B10" s="866"/>
      <c r="C10" s="866"/>
      <c r="D10" s="866"/>
      <c r="E10" s="866"/>
      <c r="F10" s="866"/>
      <c r="G10" s="866"/>
      <c r="H10" s="866"/>
      <c r="I10" s="866"/>
      <c r="J10" s="866"/>
      <c r="K10" s="866"/>
    </row>
    <row r="11" spans="1:12">
      <c r="A11" s="864" t="s">
        <v>890</v>
      </c>
      <c r="B11" s="868">
        <v>0.15</v>
      </c>
      <c r="C11" s="868">
        <v>0.2</v>
      </c>
      <c r="D11" s="868">
        <v>0.15</v>
      </c>
      <c r="E11" s="868">
        <v>0.35</v>
      </c>
      <c r="F11" s="868">
        <v>0.4</v>
      </c>
      <c r="G11" s="868">
        <v>0.4</v>
      </c>
      <c r="H11" s="868">
        <v>0.4</v>
      </c>
      <c r="I11" s="868">
        <v>0.3</v>
      </c>
      <c r="J11" s="868">
        <v>0.45</v>
      </c>
      <c r="K11" s="868">
        <v>0.45</v>
      </c>
    </row>
    <row r="12" spans="1:12">
      <c r="A12" s="111" t="s">
        <v>1400</v>
      </c>
      <c r="B12" s="866"/>
      <c r="C12" s="866"/>
      <c r="D12" s="866"/>
      <c r="E12" s="866"/>
      <c r="F12" s="866"/>
      <c r="G12" s="866"/>
      <c r="H12" s="866"/>
      <c r="I12" s="866"/>
      <c r="J12" s="866"/>
      <c r="K12" s="866"/>
      <c r="L12" s="866"/>
    </row>
    <row r="13" spans="1:12">
      <c r="A13" s="111" t="s">
        <v>1401</v>
      </c>
      <c r="B13" s="866"/>
      <c r="C13" s="866"/>
      <c r="D13" s="866"/>
      <c r="E13" s="866"/>
      <c r="F13" s="866"/>
      <c r="G13" s="866"/>
      <c r="H13" s="866"/>
      <c r="I13" s="866"/>
      <c r="J13" s="875"/>
      <c r="K13" s="866"/>
      <c r="L13" s="866"/>
    </row>
    <row r="14" spans="1:12">
      <c r="A14" s="111" t="s">
        <v>138</v>
      </c>
      <c r="B14" s="866"/>
      <c r="C14" s="866"/>
      <c r="D14" s="866"/>
      <c r="E14" s="866"/>
      <c r="F14" s="866"/>
      <c r="G14" s="866"/>
      <c r="H14" s="866"/>
      <c r="I14" s="866"/>
      <c r="J14" s="872"/>
      <c r="K14" s="866"/>
      <c r="L14" s="866"/>
    </row>
    <row r="15" spans="1:12">
      <c r="A15" s="864" t="s">
        <v>136</v>
      </c>
      <c r="B15" s="866"/>
      <c r="C15" s="866"/>
      <c r="D15" s="866"/>
      <c r="E15" s="866"/>
      <c r="F15" s="866"/>
      <c r="G15" s="866"/>
      <c r="H15" s="866"/>
      <c r="I15" s="866"/>
      <c r="J15" s="875"/>
      <c r="K15" s="866"/>
      <c r="L15" s="866"/>
    </row>
    <row r="16" spans="1:12">
      <c r="A16" s="864" t="s">
        <v>135</v>
      </c>
      <c r="B16" s="866"/>
      <c r="C16" s="866"/>
      <c r="D16" s="866"/>
      <c r="E16" s="866"/>
      <c r="F16" s="866"/>
      <c r="G16" s="866"/>
      <c r="H16" s="866"/>
      <c r="I16" s="866"/>
      <c r="J16" s="866"/>
      <c r="K16" s="866"/>
      <c r="L16" s="866"/>
    </row>
    <row r="17" spans="1:15">
      <c r="A17" s="864" t="s">
        <v>246</v>
      </c>
      <c r="B17" s="866"/>
      <c r="C17" s="866"/>
      <c r="D17" s="866"/>
      <c r="E17" s="866"/>
      <c r="F17" s="866"/>
      <c r="G17" s="866"/>
      <c r="H17" s="866"/>
      <c r="I17" s="866"/>
      <c r="J17" s="872"/>
      <c r="K17" s="866"/>
      <c r="L17" s="866"/>
    </row>
    <row r="18" spans="1:15" ht="15.5">
      <c r="A18" s="867" t="s">
        <v>253</v>
      </c>
      <c r="B18" s="866"/>
      <c r="C18" s="866"/>
      <c r="D18" s="866"/>
      <c r="E18" s="866"/>
      <c r="F18" s="866"/>
      <c r="G18" s="866"/>
      <c r="H18" s="866"/>
      <c r="I18" s="866"/>
      <c r="J18" s="866"/>
      <c r="K18" s="869"/>
      <c r="L18" s="866"/>
    </row>
    <row r="19" spans="1:15" ht="15.5">
      <c r="A19" s="867" t="s">
        <v>151</v>
      </c>
      <c r="B19" s="866"/>
      <c r="C19" s="866"/>
      <c r="D19" s="866"/>
      <c r="E19" s="866"/>
      <c r="F19" s="866"/>
      <c r="G19" s="866"/>
      <c r="H19" s="866"/>
      <c r="I19" s="866"/>
      <c r="J19" s="866"/>
      <c r="K19" s="869"/>
      <c r="L19" s="866"/>
    </row>
    <row r="20" spans="1:15" ht="15.5">
      <c r="A20" s="867" t="s">
        <v>870</v>
      </c>
      <c r="B20" s="866"/>
      <c r="C20" s="866"/>
      <c r="D20" s="866"/>
      <c r="E20" s="866"/>
      <c r="F20" s="866"/>
      <c r="G20" s="866"/>
      <c r="H20" s="866"/>
      <c r="I20" s="866"/>
      <c r="J20" s="866"/>
      <c r="K20" s="869"/>
      <c r="L20" s="866"/>
    </row>
    <row r="21" spans="1:15" ht="15.5">
      <c r="B21" s="866"/>
      <c r="C21" s="866"/>
      <c r="D21" s="1176"/>
      <c r="E21" s="1176"/>
      <c r="F21" s="1172"/>
      <c r="G21" s="866"/>
      <c r="H21" s="866"/>
      <c r="I21" s="866"/>
      <c r="J21" s="866"/>
      <c r="K21" s="869"/>
      <c r="L21" s="866"/>
    </row>
    <row r="22" spans="1:15">
      <c r="A22" s="864" t="s">
        <v>9</v>
      </c>
      <c r="B22" s="1366" t="s">
        <v>1193</v>
      </c>
      <c r="C22" s="1366" t="s">
        <v>878</v>
      </c>
      <c r="D22" s="1367" t="s">
        <v>879</v>
      </c>
      <c r="E22" s="865" t="s">
        <v>880</v>
      </c>
      <c r="F22" s="865" t="s">
        <v>881</v>
      </c>
      <c r="G22" s="865"/>
      <c r="H22" s="865"/>
      <c r="I22" s="866"/>
      <c r="J22" s="866"/>
      <c r="K22" s="866"/>
      <c r="L22" s="871"/>
      <c r="M22" s="866"/>
      <c r="N22" s="871"/>
      <c r="O22" s="871"/>
    </row>
    <row r="23" spans="1:15" ht="15.5">
      <c r="A23" s="864" t="s">
        <v>134</v>
      </c>
      <c r="B23" s="866"/>
      <c r="C23" s="866"/>
      <c r="D23" s="1170"/>
      <c r="E23" s="1361"/>
      <c r="F23" s="1365"/>
      <c r="G23" s="1365"/>
      <c r="H23" s="866"/>
      <c r="I23" s="866"/>
      <c r="J23" s="866"/>
      <c r="K23" s="866"/>
      <c r="L23" s="866"/>
      <c r="M23" s="866"/>
      <c r="N23" s="869"/>
      <c r="O23" s="866"/>
    </row>
    <row r="24" spans="1:15" ht="15.5">
      <c r="A24" s="864" t="s">
        <v>317</v>
      </c>
      <c r="B24" s="866"/>
      <c r="C24" s="866"/>
      <c r="D24" s="31"/>
      <c r="E24" s="31"/>
      <c r="F24" s="1365"/>
      <c r="G24" s="1365"/>
      <c r="H24" s="866"/>
      <c r="I24" s="866"/>
      <c r="J24" s="866"/>
      <c r="K24" s="866"/>
      <c r="L24" s="866"/>
      <c r="M24" s="866"/>
      <c r="N24" s="869"/>
      <c r="O24" s="866"/>
    </row>
    <row r="25" spans="1:15" ht="15.5">
      <c r="A25" s="864" t="s">
        <v>875</v>
      </c>
      <c r="B25" s="866"/>
      <c r="C25" s="866"/>
      <c r="D25" s="868"/>
      <c r="E25" s="868"/>
      <c r="F25" s="1365"/>
      <c r="G25" s="1365"/>
      <c r="H25" s="866"/>
      <c r="I25" s="866"/>
      <c r="J25" s="866"/>
      <c r="K25" s="866"/>
      <c r="L25" s="866"/>
      <c r="M25" s="866"/>
      <c r="N25" s="869"/>
      <c r="O25" s="866"/>
    </row>
    <row r="26" spans="1:15" ht="15.5">
      <c r="A26" s="867" t="s">
        <v>876</v>
      </c>
      <c r="B26" s="866"/>
      <c r="C26" s="866"/>
      <c r="D26" s="872"/>
      <c r="E26" s="1365"/>
      <c r="F26" s="1365"/>
      <c r="G26" s="1365"/>
      <c r="H26" s="866"/>
      <c r="I26" s="866"/>
      <c r="J26" s="866"/>
      <c r="K26" s="866"/>
      <c r="L26" s="866"/>
      <c r="M26" s="866"/>
      <c r="N26" s="869"/>
      <c r="O26" s="866"/>
    </row>
    <row r="27" spans="1:15" ht="15.5">
      <c r="A27" s="864" t="s">
        <v>890</v>
      </c>
      <c r="B27" s="868">
        <v>0.6</v>
      </c>
      <c r="C27" s="868">
        <v>0.4</v>
      </c>
      <c r="D27" s="868">
        <v>0.4</v>
      </c>
      <c r="E27" s="868">
        <v>0.15</v>
      </c>
      <c r="F27" s="868">
        <v>0.45</v>
      </c>
      <c r="G27" s="868"/>
      <c r="H27" s="868"/>
      <c r="I27" s="866"/>
      <c r="J27" s="868"/>
      <c r="K27" s="868"/>
      <c r="L27" s="868"/>
      <c r="M27" s="868"/>
      <c r="N27" s="873"/>
      <c r="O27" s="868"/>
    </row>
    <row r="28" spans="1:15">
      <c r="A28" s="111" t="s">
        <v>1400</v>
      </c>
      <c r="B28" s="868"/>
      <c r="C28" s="868"/>
      <c r="D28" s="874"/>
      <c r="E28" s="872"/>
      <c r="F28" s="1173"/>
      <c r="G28" s="868"/>
      <c r="H28" s="868"/>
      <c r="I28" s="868"/>
      <c r="J28" s="868"/>
      <c r="K28" s="868"/>
      <c r="L28" s="866"/>
    </row>
    <row r="29" spans="1:15">
      <c r="A29" s="111" t="s">
        <v>1401</v>
      </c>
      <c r="B29" s="866"/>
      <c r="C29" s="866"/>
      <c r="D29" s="875"/>
      <c r="E29" s="875"/>
      <c r="F29" s="872"/>
      <c r="G29" s="866"/>
      <c r="H29" s="866"/>
      <c r="I29" s="866"/>
      <c r="J29" s="866"/>
      <c r="K29" s="866"/>
      <c r="L29" s="866"/>
    </row>
    <row r="30" spans="1:15">
      <c r="A30" s="111" t="s">
        <v>138</v>
      </c>
      <c r="B30" s="866"/>
      <c r="C30" s="866"/>
      <c r="D30" s="875"/>
      <c r="E30" s="875"/>
      <c r="F30" s="875"/>
      <c r="G30" s="866"/>
      <c r="H30" s="866"/>
      <c r="I30" s="866"/>
      <c r="J30" s="866"/>
      <c r="K30" s="866"/>
      <c r="L30" s="866"/>
    </row>
    <row r="31" spans="1:15">
      <c r="A31" s="864" t="s">
        <v>136</v>
      </c>
      <c r="B31" s="866"/>
      <c r="C31" s="866"/>
      <c r="D31" s="875"/>
      <c r="E31" s="875"/>
      <c r="F31" s="875"/>
      <c r="G31" s="866"/>
      <c r="H31" s="866"/>
      <c r="I31" s="866"/>
      <c r="J31" s="866"/>
      <c r="K31" s="866"/>
      <c r="L31" s="866"/>
    </row>
    <row r="32" spans="1:15">
      <c r="A32" s="864" t="s">
        <v>135</v>
      </c>
      <c r="B32" s="866"/>
      <c r="C32" s="866"/>
      <c r="D32" s="872"/>
      <c r="E32" s="866"/>
      <c r="F32" s="872"/>
      <c r="G32" s="866"/>
      <c r="H32" s="866"/>
      <c r="I32" s="866"/>
      <c r="J32" s="866"/>
      <c r="K32" s="866"/>
      <c r="L32" s="866"/>
    </row>
    <row r="33" spans="1:12">
      <c r="A33" s="864" t="s">
        <v>246</v>
      </c>
      <c r="B33" s="872"/>
      <c r="C33" s="866"/>
      <c r="D33" s="872"/>
      <c r="E33" s="875"/>
      <c r="F33" s="872"/>
      <c r="G33" s="866"/>
      <c r="H33" s="866"/>
      <c r="I33" s="866"/>
      <c r="J33" s="866"/>
      <c r="K33" s="866"/>
      <c r="L33" s="866"/>
    </row>
    <row r="34" spans="1:12">
      <c r="A34" s="867" t="s">
        <v>253</v>
      </c>
      <c r="B34" s="866"/>
      <c r="C34" s="866"/>
      <c r="D34" s="866"/>
      <c r="E34" s="866"/>
      <c r="F34" s="866"/>
      <c r="G34" s="866"/>
      <c r="H34" s="866"/>
      <c r="I34" s="866"/>
      <c r="J34" s="866"/>
      <c r="K34" s="866"/>
      <c r="L34" s="866"/>
    </row>
    <row r="35" spans="1:12">
      <c r="A35" s="867" t="s">
        <v>151</v>
      </c>
      <c r="B35" s="866"/>
      <c r="C35" s="866"/>
      <c r="D35" s="866"/>
      <c r="E35" s="866"/>
      <c r="F35" s="866"/>
      <c r="G35" s="866"/>
      <c r="H35" s="866"/>
      <c r="I35" s="866"/>
      <c r="J35" s="866"/>
      <c r="K35" s="866"/>
      <c r="L35" s="866"/>
    </row>
    <row r="36" spans="1:12">
      <c r="A36" s="867" t="s">
        <v>870</v>
      </c>
      <c r="B36" s="866"/>
      <c r="C36" s="866"/>
      <c r="D36" s="866"/>
      <c r="E36" s="866"/>
      <c r="F36" s="866"/>
      <c r="G36" s="866"/>
      <c r="H36" s="866"/>
      <c r="I36" s="866"/>
      <c r="J36" s="866"/>
      <c r="K36" s="866"/>
      <c r="L36" s="866"/>
    </row>
    <row r="38" spans="1:12">
      <c r="A38" s="876" t="s">
        <v>470</v>
      </c>
      <c r="B38" s="872">
        <v>13</v>
      </c>
      <c r="C38" s="877" t="s">
        <v>883</v>
      </c>
      <c r="D38" s="872">
        <v>0.7</v>
      </c>
      <c r="E38" s="877" t="s">
        <v>891</v>
      </c>
      <c r="F38" s="872"/>
      <c r="H38" s="1171"/>
    </row>
    <row r="39" spans="1:12">
      <c r="A39" s="876" t="s">
        <v>471</v>
      </c>
      <c r="B39" s="872">
        <v>14.9</v>
      </c>
      <c r="C39" s="878" t="s">
        <v>727</v>
      </c>
      <c r="D39" s="875">
        <v>1</v>
      </c>
      <c r="E39" s="877" t="s">
        <v>892</v>
      </c>
      <c r="F39" s="875"/>
    </row>
    <row r="40" spans="1:12">
      <c r="A40" s="876" t="s">
        <v>458</v>
      </c>
      <c r="B40" s="872">
        <v>13.7</v>
      </c>
      <c r="C40" s="879" t="s">
        <v>731</v>
      </c>
      <c r="D40" s="31">
        <v>13</v>
      </c>
      <c r="E40" s="877" t="s">
        <v>893</v>
      </c>
      <c r="F40" s="872"/>
    </row>
    <row r="41" spans="1:12">
      <c r="A41" s="876" t="s">
        <v>755</v>
      </c>
      <c r="B41" s="872">
        <v>4.8</v>
      </c>
      <c r="C41" s="878" t="s">
        <v>726</v>
      </c>
      <c r="D41" s="866">
        <v>11</v>
      </c>
      <c r="E41" s="877" t="s">
        <v>894</v>
      </c>
      <c r="F41" s="866"/>
    </row>
    <row r="42" spans="1:12">
      <c r="A42" s="479" t="s">
        <v>472</v>
      </c>
      <c r="B42" s="872">
        <v>14.2</v>
      </c>
      <c r="C42" s="1177" t="s">
        <v>1287</v>
      </c>
      <c r="D42" s="880">
        <v>10</v>
      </c>
      <c r="E42" s="1193" t="s">
        <v>1326</v>
      </c>
      <c r="F42" s="880"/>
    </row>
    <row r="43" spans="1:12">
      <c r="A43" s="479" t="s">
        <v>1286</v>
      </c>
      <c r="B43" s="866">
        <v>1553</v>
      </c>
      <c r="C43" s="75" t="s">
        <v>1332</v>
      </c>
      <c r="D43" s="872">
        <v>2</v>
      </c>
      <c r="E43" s="75" t="s">
        <v>1331</v>
      </c>
      <c r="F43" s="866"/>
    </row>
    <row r="44" spans="1:12">
      <c r="A44" s="479" t="s">
        <v>1526</v>
      </c>
      <c r="B44" s="1368">
        <v>0.53</v>
      </c>
    </row>
    <row r="49" spans="1:25">
      <c r="N49" s="881" t="s">
        <v>132</v>
      </c>
      <c r="O49" s="882"/>
      <c r="P49" s="883"/>
      <c r="Q49" s="884"/>
      <c r="R49" s="884"/>
      <c r="S49" s="884"/>
      <c r="T49" s="2605"/>
      <c r="U49" s="2606"/>
      <c r="V49" s="2607"/>
      <c r="W49" s="2602"/>
      <c r="X49" s="2603"/>
      <c r="Y49" s="2604"/>
    </row>
    <row r="50" spans="1:25">
      <c r="N50" s="885" t="s">
        <v>9</v>
      </c>
      <c r="O50" s="885"/>
      <c r="P50" s="885"/>
      <c r="Q50" s="885" t="s">
        <v>9</v>
      </c>
      <c r="R50" s="885"/>
      <c r="S50" s="885"/>
      <c r="T50" s="885" t="s">
        <v>9</v>
      </c>
      <c r="U50" s="885"/>
      <c r="V50" s="886"/>
      <c r="W50" s="885" t="s">
        <v>9</v>
      </c>
      <c r="X50" s="885"/>
      <c r="Y50" s="887"/>
    </row>
    <row r="51" spans="1:25" ht="13.75" customHeight="1">
      <c r="A51" s="861"/>
      <c r="B51" s="2598" t="s">
        <v>1528</v>
      </c>
      <c r="C51" s="2584"/>
      <c r="D51" s="2584"/>
      <c r="E51" s="2584"/>
      <c r="F51" s="2584"/>
      <c r="G51" s="2584"/>
      <c r="H51" s="2584"/>
      <c r="I51" s="2585"/>
      <c r="N51" s="885" t="s">
        <v>253</v>
      </c>
      <c r="O51" s="885"/>
      <c r="P51" s="885"/>
      <c r="Q51" s="885" t="s">
        <v>253</v>
      </c>
      <c r="R51" s="885"/>
      <c r="S51" s="885"/>
      <c r="T51" s="885" t="s">
        <v>253</v>
      </c>
      <c r="U51" s="885"/>
      <c r="V51" s="885"/>
      <c r="W51" s="885" t="s">
        <v>253</v>
      </c>
      <c r="X51" s="885"/>
      <c r="Y51" s="885"/>
    </row>
    <row r="52" spans="1:25" ht="14" customHeight="1">
      <c r="A52" s="861" t="s">
        <v>255</v>
      </c>
      <c r="B52" s="863" t="s">
        <v>896</v>
      </c>
      <c r="C52" s="863"/>
      <c r="D52" s="863" t="s">
        <v>900</v>
      </c>
      <c r="E52" s="863"/>
      <c r="F52" s="863"/>
      <c r="G52" s="863"/>
      <c r="H52" s="863"/>
      <c r="I52" s="863"/>
      <c r="N52" s="885"/>
      <c r="O52" s="888" t="s">
        <v>151</v>
      </c>
      <c r="P52" s="888" t="s">
        <v>870</v>
      </c>
      <c r="Q52" s="885"/>
      <c r="R52" s="888" t="s">
        <v>151</v>
      </c>
      <c r="S52" s="888" t="s">
        <v>870</v>
      </c>
      <c r="T52" s="885"/>
      <c r="U52" s="888" t="s">
        <v>151</v>
      </c>
      <c r="V52" s="888" t="s">
        <v>870</v>
      </c>
      <c r="W52" s="885"/>
      <c r="X52" s="888" t="s">
        <v>151</v>
      </c>
      <c r="Y52" s="888" t="s">
        <v>870</v>
      </c>
    </row>
    <row r="53" spans="1:25">
      <c r="A53" s="861" t="s">
        <v>5</v>
      </c>
      <c r="B53" s="2599"/>
      <c r="C53" s="2599"/>
      <c r="D53" s="2599"/>
      <c r="E53" s="2599"/>
      <c r="F53" s="2599"/>
      <c r="G53" s="2599"/>
      <c r="H53" s="2599"/>
      <c r="I53" s="2599"/>
      <c r="N53" s="889">
        <v>2</v>
      </c>
      <c r="O53" s="890"/>
      <c r="P53" s="891"/>
      <c r="Q53" s="889">
        <v>2</v>
      </c>
      <c r="R53" s="890"/>
      <c r="S53" s="891"/>
      <c r="T53" s="889">
        <v>2</v>
      </c>
      <c r="U53" s="892"/>
      <c r="V53" s="892"/>
      <c r="W53" s="889">
        <v>2</v>
      </c>
      <c r="X53" s="892"/>
      <c r="Y53" s="892"/>
    </row>
    <row r="54" spans="1:25">
      <c r="A54" s="861" t="s">
        <v>132</v>
      </c>
      <c r="B54" s="2600">
        <v>43741</v>
      </c>
      <c r="C54" s="2601"/>
      <c r="D54" s="2591"/>
      <c r="E54" s="2592"/>
      <c r="F54" s="2592"/>
      <c r="G54" s="2592"/>
      <c r="H54" s="2592"/>
      <c r="I54" s="2593"/>
      <c r="N54" s="889">
        <v>4</v>
      </c>
      <c r="O54" s="890"/>
      <c r="P54" s="890"/>
      <c r="Q54" s="889">
        <v>4</v>
      </c>
      <c r="R54" s="890"/>
      <c r="S54" s="890"/>
      <c r="T54" s="889">
        <v>4</v>
      </c>
      <c r="U54" s="890"/>
      <c r="V54" s="890"/>
      <c r="W54" s="889">
        <v>4</v>
      </c>
      <c r="X54" s="890"/>
      <c r="Y54" s="890"/>
    </row>
    <row r="55" spans="1:25">
      <c r="N55" s="889">
        <v>6</v>
      </c>
      <c r="O55" s="890"/>
      <c r="P55" s="890"/>
      <c r="Q55" s="889">
        <v>6</v>
      </c>
      <c r="R55" s="890"/>
      <c r="S55" s="890"/>
      <c r="T55" s="889">
        <v>6</v>
      </c>
      <c r="U55" s="890"/>
      <c r="V55" s="890"/>
      <c r="W55" s="889">
        <v>6</v>
      </c>
      <c r="X55" s="890"/>
      <c r="Y55" s="890"/>
    </row>
    <row r="56" spans="1:25" ht="26" customHeight="1">
      <c r="A56" s="864" t="s">
        <v>9</v>
      </c>
      <c r="B56" s="865" t="s">
        <v>903</v>
      </c>
      <c r="C56" s="865" t="s">
        <v>902</v>
      </c>
      <c r="D56" s="893" t="s">
        <v>759</v>
      </c>
      <c r="E56" s="865" t="s">
        <v>901</v>
      </c>
      <c r="F56" s="894" t="s">
        <v>776</v>
      </c>
      <c r="G56" s="865"/>
      <c r="H56" s="865"/>
      <c r="I56" s="895"/>
      <c r="N56" s="889">
        <v>8</v>
      </c>
      <c r="O56" s="890"/>
      <c r="P56" s="890"/>
      <c r="Q56" s="889">
        <v>8</v>
      </c>
      <c r="R56" s="890"/>
      <c r="S56" s="890"/>
      <c r="T56" s="889">
        <v>8</v>
      </c>
      <c r="U56" s="890"/>
      <c r="V56" s="890"/>
      <c r="W56" s="889">
        <v>8</v>
      </c>
      <c r="X56" s="890"/>
      <c r="Y56" s="890"/>
    </row>
    <row r="57" spans="1:25">
      <c r="A57" s="864" t="s">
        <v>898</v>
      </c>
      <c r="B57" s="866">
        <v>12239</v>
      </c>
      <c r="C57" s="866">
        <v>12195</v>
      </c>
      <c r="D57" s="866">
        <v>12199</v>
      </c>
      <c r="E57" s="866">
        <v>12207</v>
      </c>
      <c r="F57" s="866">
        <v>12180</v>
      </c>
      <c r="G57" s="866"/>
      <c r="H57" s="1174" t="s">
        <v>471</v>
      </c>
      <c r="I57" s="872">
        <v>13.5</v>
      </c>
      <c r="N57" s="889">
        <v>10</v>
      </c>
      <c r="O57" s="890"/>
      <c r="P57" s="890"/>
      <c r="Q57" s="889">
        <v>10</v>
      </c>
      <c r="R57" s="890"/>
      <c r="S57" s="890"/>
      <c r="T57" s="889">
        <v>10</v>
      </c>
      <c r="U57" s="896"/>
      <c r="V57" s="897"/>
      <c r="W57" s="889">
        <v>10</v>
      </c>
      <c r="X57" s="892"/>
      <c r="Y57" s="892"/>
    </row>
    <row r="58" spans="1:25">
      <c r="A58" s="111" t="s">
        <v>134</v>
      </c>
      <c r="B58" s="866"/>
      <c r="C58" s="866"/>
      <c r="D58" s="866"/>
      <c r="E58" s="866"/>
      <c r="F58" s="866"/>
      <c r="G58" s="866"/>
      <c r="H58" s="1174" t="s">
        <v>458</v>
      </c>
      <c r="I58" s="872">
        <v>13</v>
      </c>
      <c r="N58" s="889">
        <v>12</v>
      </c>
      <c r="O58" s="890"/>
      <c r="P58" s="890"/>
      <c r="Q58" s="889">
        <v>12</v>
      </c>
      <c r="R58" s="890"/>
      <c r="S58" s="890"/>
      <c r="T58" s="889">
        <v>12</v>
      </c>
      <c r="U58" s="890"/>
      <c r="V58" s="890"/>
      <c r="W58" s="889">
        <v>12</v>
      </c>
      <c r="X58" s="892"/>
      <c r="Y58" s="892"/>
    </row>
    <row r="59" spans="1:25">
      <c r="A59" s="864" t="s">
        <v>317</v>
      </c>
      <c r="B59" s="866"/>
      <c r="C59" s="866"/>
      <c r="D59" s="866"/>
      <c r="E59" s="866"/>
      <c r="F59" s="866"/>
      <c r="G59" s="866"/>
      <c r="H59" s="1174" t="s">
        <v>574</v>
      </c>
      <c r="I59" s="872">
        <v>9</v>
      </c>
      <c r="N59" s="889">
        <v>14</v>
      </c>
      <c r="O59" s="890"/>
      <c r="P59" s="890"/>
      <c r="Q59" s="889">
        <v>14</v>
      </c>
      <c r="R59" s="890"/>
      <c r="S59" s="890"/>
      <c r="T59" s="889">
        <v>14</v>
      </c>
      <c r="U59" s="890"/>
      <c r="V59" s="890"/>
      <c r="W59" s="889">
        <v>14</v>
      </c>
      <c r="X59" s="892"/>
      <c r="Y59" s="892"/>
    </row>
    <row r="60" spans="1:25">
      <c r="A60" s="864" t="s">
        <v>875</v>
      </c>
      <c r="B60" s="866"/>
      <c r="C60" s="866"/>
      <c r="D60" s="866"/>
      <c r="E60" s="866"/>
      <c r="F60" s="866"/>
      <c r="G60" s="866"/>
      <c r="H60" s="1174" t="s">
        <v>575</v>
      </c>
      <c r="I60" s="872">
        <v>1598</v>
      </c>
      <c r="J60" s="861"/>
      <c r="N60" s="889">
        <v>16</v>
      </c>
      <c r="O60" s="890"/>
      <c r="P60" s="890"/>
      <c r="Q60" s="889">
        <v>16</v>
      </c>
      <c r="R60" s="890"/>
      <c r="S60" s="890"/>
      <c r="T60" s="889">
        <v>16</v>
      </c>
      <c r="U60" s="898"/>
      <c r="V60" s="898"/>
      <c r="W60" s="889">
        <v>16</v>
      </c>
      <c r="X60" s="889"/>
      <c r="Y60" s="889"/>
    </row>
    <row r="61" spans="1:25">
      <c r="A61" s="867" t="s">
        <v>876</v>
      </c>
      <c r="B61" s="866"/>
      <c r="C61" s="866"/>
      <c r="D61" s="866"/>
      <c r="E61" s="866"/>
      <c r="F61" s="866"/>
      <c r="G61" s="866"/>
      <c r="H61" s="1174" t="s">
        <v>576</v>
      </c>
      <c r="I61" s="872">
        <v>6</v>
      </c>
      <c r="N61" s="889">
        <v>18</v>
      </c>
      <c r="O61" s="890"/>
      <c r="P61" s="890"/>
      <c r="Q61" s="889">
        <v>18</v>
      </c>
      <c r="R61" s="890"/>
      <c r="S61" s="890"/>
      <c r="T61" s="889">
        <v>18</v>
      </c>
      <c r="U61" s="892"/>
      <c r="V61" s="892"/>
      <c r="W61" s="889">
        <v>18</v>
      </c>
      <c r="X61" s="889"/>
      <c r="Y61" s="889"/>
    </row>
    <row r="62" spans="1:25">
      <c r="A62" s="864" t="s">
        <v>815</v>
      </c>
      <c r="B62" s="899">
        <v>0.15</v>
      </c>
      <c r="C62" s="868">
        <v>0.1</v>
      </c>
      <c r="D62" s="868">
        <v>0.4</v>
      </c>
      <c r="E62" s="868">
        <v>0.4</v>
      </c>
      <c r="F62" s="868">
        <v>0.2</v>
      </c>
      <c r="G62" s="866"/>
      <c r="H62" s="1174" t="s">
        <v>472</v>
      </c>
      <c r="I62" s="872">
        <v>12.4</v>
      </c>
      <c r="N62" s="889">
        <v>20</v>
      </c>
      <c r="O62" s="890"/>
      <c r="P62" s="890"/>
      <c r="Q62" s="889">
        <v>20</v>
      </c>
      <c r="R62" s="890"/>
      <c r="S62" s="890"/>
      <c r="T62" s="900"/>
      <c r="U62" s="901"/>
      <c r="V62" s="901"/>
      <c r="W62" s="902"/>
      <c r="X62" s="902"/>
      <c r="Y62" s="902"/>
    </row>
    <row r="63" spans="1:25">
      <c r="A63" s="864" t="s">
        <v>483</v>
      </c>
      <c r="B63" s="866"/>
      <c r="C63" s="866"/>
      <c r="D63" s="866"/>
      <c r="E63" s="866"/>
      <c r="F63" s="866"/>
      <c r="G63" s="866"/>
      <c r="H63" s="1175" t="s">
        <v>729</v>
      </c>
      <c r="I63" s="872">
        <v>13</v>
      </c>
      <c r="N63" s="889">
        <v>22</v>
      </c>
      <c r="O63" s="890"/>
      <c r="P63" s="890"/>
      <c r="Q63" s="889">
        <v>22</v>
      </c>
      <c r="R63" s="890"/>
      <c r="S63" s="890"/>
      <c r="T63" s="885" t="s">
        <v>9</v>
      </c>
      <c r="U63" s="890"/>
      <c r="V63" s="890"/>
      <c r="W63" s="885" t="s">
        <v>9</v>
      </c>
      <c r="X63" s="890"/>
      <c r="Y63" s="890"/>
    </row>
    <row r="64" spans="1:25" ht="16.5" customHeight="1">
      <c r="A64" s="864" t="s">
        <v>888</v>
      </c>
      <c r="B64" s="866"/>
      <c r="C64" s="866"/>
      <c r="D64" s="866"/>
      <c r="E64" s="866"/>
      <c r="F64" s="866"/>
      <c r="G64" s="866"/>
      <c r="H64" s="1175" t="s">
        <v>728</v>
      </c>
      <c r="I64" s="872"/>
      <c r="N64" s="889">
        <v>24</v>
      </c>
      <c r="O64" s="890"/>
      <c r="P64" s="890"/>
      <c r="Q64" s="889">
        <v>24</v>
      </c>
      <c r="R64" s="890"/>
      <c r="S64" s="890"/>
      <c r="T64" s="890" t="s">
        <v>253</v>
      </c>
      <c r="U64" s="903"/>
      <c r="V64" s="903"/>
      <c r="W64" s="890" t="s">
        <v>253</v>
      </c>
      <c r="X64" s="890"/>
      <c r="Y64" s="890"/>
    </row>
    <row r="65" spans="1:25">
      <c r="A65" s="111" t="s">
        <v>1527</v>
      </c>
      <c r="B65" s="866"/>
      <c r="C65" s="866"/>
      <c r="D65" s="866"/>
      <c r="E65" s="866"/>
      <c r="F65" s="866"/>
      <c r="G65" s="866"/>
      <c r="H65" s="826" t="s">
        <v>732</v>
      </c>
      <c r="I65" s="872"/>
      <c r="N65" s="889">
        <v>26</v>
      </c>
      <c r="O65" s="890"/>
      <c r="P65" s="890"/>
      <c r="Q65" s="889">
        <v>26</v>
      </c>
      <c r="R65" s="890"/>
      <c r="S65" s="890"/>
      <c r="T65" s="889">
        <v>2</v>
      </c>
      <c r="U65" s="890"/>
      <c r="V65" s="890"/>
      <c r="W65" s="891">
        <v>2</v>
      </c>
      <c r="X65" s="898"/>
      <c r="Y65" s="898"/>
    </row>
    <row r="66" spans="1:25">
      <c r="A66" s="111" t="s">
        <v>138</v>
      </c>
      <c r="B66" s="866"/>
      <c r="C66" s="866"/>
      <c r="D66" s="866"/>
      <c r="E66" s="866"/>
      <c r="F66" s="866"/>
      <c r="G66" s="866"/>
      <c r="H66" s="76" t="s">
        <v>1526</v>
      </c>
      <c r="I66" s="1371" t="s">
        <v>1533</v>
      </c>
      <c r="N66" s="889">
        <v>28</v>
      </c>
      <c r="O66" s="890"/>
      <c r="P66" s="890"/>
      <c r="Q66" s="889">
        <v>28</v>
      </c>
      <c r="R66" s="890"/>
      <c r="S66" s="890"/>
      <c r="T66" s="889">
        <v>4</v>
      </c>
      <c r="U66" s="890"/>
      <c r="V66" s="887"/>
      <c r="W66" s="891">
        <v>4</v>
      </c>
      <c r="X66" s="889"/>
      <c r="Y66" s="889"/>
    </row>
    <row r="67" spans="1:25">
      <c r="A67" s="864" t="s">
        <v>136</v>
      </c>
      <c r="B67" s="866"/>
      <c r="C67" s="866"/>
      <c r="D67" s="866"/>
      <c r="E67" s="866"/>
      <c r="F67" s="866"/>
      <c r="G67" s="866"/>
      <c r="H67" s="866"/>
      <c r="I67" s="866"/>
      <c r="N67" s="2595"/>
      <c r="O67" s="2596"/>
      <c r="P67" s="2597"/>
      <c r="Q67" s="2595"/>
      <c r="R67" s="2596"/>
      <c r="S67" s="2597"/>
      <c r="T67" s="889">
        <v>6</v>
      </c>
      <c r="U67" s="898"/>
      <c r="V67" s="898"/>
      <c r="W67" s="891">
        <v>6</v>
      </c>
      <c r="X67" s="889"/>
      <c r="Y67" s="889"/>
    </row>
    <row r="68" spans="1:25">
      <c r="A68" s="864" t="s">
        <v>135</v>
      </c>
      <c r="B68" s="866"/>
      <c r="C68" s="866"/>
      <c r="D68" s="866"/>
      <c r="E68" s="866"/>
      <c r="F68" s="866"/>
      <c r="G68" s="866"/>
      <c r="H68" s="866"/>
      <c r="I68" s="866"/>
      <c r="N68" s="890" t="s">
        <v>9</v>
      </c>
      <c r="O68" s="890"/>
      <c r="P68" s="890"/>
      <c r="Q68" s="890" t="s">
        <v>9</v>
      </c>
      <c r="R68" s="890"/>
      <c r="S68" s="890"/>
      <c r="T68" s="889">
        <v>8</v>
      </c>
      <c r="U68" s="890"/>
      <c r="V68" s="891"/>
      <c r="W68" s="891">
        <v>8</v>
      </c>
      <c r="X68" s="903"/>
      <c r="Y68" s="903"/>
    </row>
    <row r="69" spans="1:25">
      <c r="A69" s="864" t="s">
        <v>246</v>
      </c>
      <c r="B69" s="866"/>
      <c r="C69" s="866"/>
      <c r="D69" s="866"/>
      <c r="E69" s="866"/>
      <c r="F69" s="866"/>
      <c r="G69" s="866"/>
      <c r="H69" s="866"/>
      <c r="I69" s="866"/>
      <c r="N69" s="890" t="s">
        <v>253</v>
      </c>
      <c r="O69" s="891"/>
      <c r="P69" s="890"/>
      <c r="Q69" s="890" t="s">
        <v>253</v>
      </c>
      <c r="R69" s="891"/>
      <c r="S69" s="890"/>
      <c r="T69" s="904"/>
      <c r="U69" s="901"/>
      <c r="V69" s="901"/>
      <c r="W69" s="905"/>
      <c r="X69" s="904"/>
      <c r="Y69" s="904"/>
    </row>
    <row r="70" spans="1:25" ht="15" customHeight="1">
      <c r="A70" s="867" t="s">
        <v>253</v>
      </c>
      <c r="B70" s="866"/>
      <c r="C70" s="866"/>
      <c r="D70" s="866"/>
      <c r="E70" s="866"/>
      <c r="F70" s="866"/>
      <c r="G70" s="866"/>
      <c r="H70" s="866"/>
      <c r="I70" s="866"/>
      <c r="N70" s="890"/>
      <c r="O70" s="898" t="s">
        <v>151</v>
      </c>
      <c r="P70" s="888" t="s">
        <v>870</v>
      </c>
      <c r="Q70" s="890"/>
      <c r="R70" s="898" t="s">
        <v>151</v>
      </c>
      <c r="S70" s="888" t="s">
        <v>870</v>
      </c>
      <c r="T70" s="885" t="s">
        <v>9</v>
      </c>
      <c r="U70" s="890"/>
      <c r="V70" s="890"/>
      <c r="W70" s="885" t="s">
        <v>9</v>
      </c>
      <c r="X70" s="890"/>
      <c r="Y70" s="890"/>
    </row>
    <row r="71" spans="1:25">
      <c r="A71" s="867" t="s">
        <v>151</v>
      </c>
      <c r="B71" s="866"/>
      <c r="C71" s="866"/>
      <c r="D71" s="866"/>
      <c r="E71" s="866"/>
      <c r="F71" s="866"/>
      <c r="G71" s="866"/>
      <c r="H71" s="866"/>
      <c r="I71" s="866"/>
      <c r="N71" s="889">
        <v>2</v>
      </c>
      <c r="O71" s="890"/>
      <c r="P71" s="891"/>
      <c r="Q71" s="889">
        <v>2</v>
      </c>
      <c r="R71" s="890"/>
      <c r="S71" s="891"/>
      <c r="T71" s="890" t="s">
        <v>253</v>
      </c>
      <c r="U71" s="903"/>
      <c r="V71" s="903"/>
      <c r="W71" s="890" t="s">
        <v>253</v>
      </c>
      <c r="X71" s="890"/>
      <c r="Y71" s="890"/>
    </row>
    <row r="72" spans="1:25" ht="12" customHeight="1">
      <c r="A72" s="867" t="s">
        <v>870</v>
      </c>
      <c r="B72" s="866"/>
      <c r="C72" s="866"/>
      <c r="D72" s="866"/>
      <c r="E72" s="866"/>
      <c r="F72" s="866"/>
      <c r="G72" s="866"/>
      <c r="H72" s="866"/>
      <c r="I72" s="866"/>
      <c r="N72" s="889">
        <v>4</v>
      </c>
      <c r="O72" s="890"/>
      <c r="P72" s="890"/>
      <c r="Q72" s="889">
        <v>4</v>
      </c>
      <c r="R72" s="890"/>
      <c r="S72" s="890"/>
      <c r="T72" s="889"/>
      <c r="U72" s="898" t="s">
        <v>151</v>
      </c>
      <c r="V72" s="888" t="s">
        <v>870</v>
      </c>
      <c r="W72" s="889"/>
      <c r="X72" s="898" t="s">
        <v>151</v>
      </c>
      <c r="Y72" s="888" t="s">
        <v>870</v>
      </c>
    </row>
    <row r="73" spans="1:25">
      <c r="A73" s="867" t="s">
        <v>253</v>
      </c>
      <c r="B73" s="866"/>
      <c r="C73" s="866"/>
      <c r="D73" s="866"/>
      <c r="E73" s="866"/>
      <c r="F73" s="866"/>
      <c r="G73" s="866"/>
      <c r="H73" s="866"/>
      <c r="I73" s="866"/>
      <c r="N73" s="889">
        <v>6</v>
      </c>
      <c r="O73" s="890"/>
      <c r="P73" s="890"/>
      <c r="Q73" s="889">
        <v>6</v>
      </c>
      <c r="R73" s="890"/>
      <c r="S73" s="890"/>
      <c r="T73" s="889">
        <v>2</v>
      </c>
      <c r="U73" s="890"/>
      <c r="V73" s="890"/>
      <c r="W73" s="889">
        <v>2</v>
      </c>
      <c r="X73" s="892"/>
      <c r="Y73" s="892"/>
    </row>
    <row r="74" spans="1:25">
      <c r="A74" s="867" t="s">
        <v>151</v>
      </c>
      <c r="B74" s="866"/>
      <c r="C74" s="866"/>
      <c r="D74" s="866"/>
      <c r="E74" s="866"/>
      <c r="F74" s="866"/>
      <c r="G74" s="866"/>
      <c r="H74" s="866"/>
      <c r="I74" s="866"/>
      <c r="N74" s="889">
        <v>8</v>
      </c>
      <c r="O74" s="890"/>
      <c r="P74" s="890"/>
      <c r="Q74" s="889">
        <v>8</v>
      </c>
      <c r="R74" s="890"/>
      <c r="S74" s="890"/>
      <c r="T74" s="889">
        <v>4</v>
      </c>
      <c r="U74" s="890"/>
      <c r="V74" s="890"/>
      <c r="W74" s="889">
        <v>4</v>
      </c>
      <c r="X74" s="890"/>
      <c r="Y74" s="890"/>
    </row>
    <row r="75" spans="1:25">
      <c r="A75" s="867" t="s">
        <v>870</v>
      </c>
      <c r="B75" s="866"/>
      <c r="C75" s="866"/>
      <c r="D75" s="866"/>
      <c r="E75" s="866"/>
      <c r="F75" s="866"/>
      <c r="G75" s="866"/>
      <c r="H75" s="866"/>
      <c r="I75" s="866"/>
      <c r="N75" s="889">
        <v>10</v>
      </c>
      <c r="O75" s="890"/>
      <c r="P75" s="890"/>
      <c r="Q75" s="889">
        <v>10</v>
      </c>
      <c r="R75" s="890"/>
      <c r="S75" s="890"/>
      <c r="T75" s="889">
        <v>6</v>
      </c>
      <c r="U75" s="898"/>
      <c r="V75" s="898"/>
      <c r="W75" s="889">
        <v>6</v>
      </c>
      <c r="X75" s="890"/>
      <c r="Y75" s="890"/>
    </row>
    <row r="76" spans="1:25">
      <c r="A76" s="867" t="s">
        <v>151</v>
      </c>
      <c r="B76" s="866"/>
      <c r="C76" s="866"/>
      <c r="D76" s="866"/>
      <c r="E76" s="866"/>
      <c r="F76" s="866"/>
      <c r="G76" s="866"/>
      <c r="H76" s="866"/>
      <c r="I76" s="866"/>
      <c r="N76" s="889">
        <v>12</v>
      </c>
      <c r="O76" s="890"/>
      <c r="P76" s="890"/>
      <c r="Q76" s="889">
        <v>12</v>
      </c>
      <c r="R76" s="890"/>
      <c r="S76" s="890"/>
      <c r="T76" s="889">
        <v>8</v>
      </c>
      <c r="U76" s="890"/>
      <c r="V76" s="890"/>
      <c r="W76" s="889">
        <v>8</v>
      </c>
      <c r="X76" s="896"/>
      <c r="Y76" s="897"/>
    </row>
    <row r="77" spans="1:25">
      <c r="A77" s="867" t="s">
        <v>870</v>
      </c>
      <c r="B77" s="866"/>
      <c r="C77" s="866"/>
      <c r="D77" s="866"/>
      <c r="E77" s="866"/>
      <c r="F77" s="866"/>
      <c r="G77" s="866"/>
      <c r="H77" s="866"/>
      <c r="I77" s="866"/>
      <c r="N77" s="889">
        <v>14</v>
      </c>
      <c r="O77" s="890"/>
      <c r="P77" s="890"/>
      <c r="Q77" s="889">
        <v>14</v>
      </c>
      <c r="R77" s="890"/>
      <c r="S77" s="890"/>
      <c r="T77" s="889">
        <v>10</v>
      </c>
      <c r="U77" s="890"/>
      <c r="V77" s="890"/>
      <c r="W77" s="889">
        <v>10</v>
      </c>
      <c r="X77" s="890"/>
      <c r="Y77" s="890"/>
    </row>
    <row r="78" spans="1:25">
      <c r="A78" s="866"/>
      <c r="B78" s="866"/>
      <c r="C78" s="866"/>
      <c r="D78" s="866"/>
      <c r="E78" s="866"/>
      <c r="F78" s="866"/>
      <c r="G78" s="866"/>
      <c r="H78" s="866"/>
      <c r="I78" s="866"/>
      <c r="N78" s="889">
        <v>16</v>
      </c>
      <c r="O78" s="890"/>
      <c r="P78" s="890"/>
      <c r="Q78" s="889">
        <v>16</v>
      </c>
      <c r="R78" s="890"/>
      <c r="S78" s="890"/>
      <c r="T78" s="889">
        <v>12</v>
      </c>
      <c r="U78" s="890"/>
      <c r="V78" s="890"/>
      <c r="W78" s="889">
        <v>12</v>
      </c>
      <c r="X78" s="890"/>
      <c r="Y78" s="890"/>
    </row>
    <row r="79" spans="1:25">
      <c r="N79" s="889">
        <v>18</v>
      </c>
      <c r="O79" s="890"/>
      <c r="P79" s="890"/>
      <c r="Q79" s="889">
        <v>18</v>
      </c>
      <c r="R79" s="890"/>
      <c r="S79" s="890"/>
      <c r="T79" s="2594"/>
      <c r="U79" s="2594"/>
      <c r="V79" s="2594"/>
      <c r="W79" s="901"/>
      <c r="X79" s="906"/>
      <c r="Y79" s="906"/>
    </row>
    <row r="80" spans="1:25">
      <c r="N80" s="889">
        <v>20</v>
      </c>
      <c r="O80" s="890"/>
      <c r="P80" s="890"/>
      <c r="Q80" s="889">
        <v>20</v>
      </c>
      <c r="R80" s="890"/>
      <c r="S80" s="890"/>
      <c r="T80" s="885" t="s">
        <v>9</v>
      </c>
      <c r="U80" s="890"/>
      <c r="V80" s="890"/>
      <c r="W80" s="885" t="s">
        <v>9</v>
      </c>
      <c r="X80" s="890"/>
      <c r="Y80" s="890"/>
    </row>
    <row r="81" spans="1:25">
      <c r="A81" s="1370" t="s">
        <v>1532</v>
      </c>
      <c r="N81" s="889">
        <v>22</v>
      </c>
      <c r="O81" s="890"/>
      <c r="P81" s="890"/>
      <c r="Q81" s="889">
        <v>22</v>
      </c>
      <c r="R81" s="890"/>
      <c r="S81" s="890"/>
      <c r="T81" s="890" t="s">
        <v>253</v>
      </c>
      <c r="U81" s="890"/>
      <c r="V81" s="890"/>
      <c r="W81" s="890" t="s">
        <v>253</v>
      </c>
      <c r="X81" s="889"/>
      <c r="Y81" s="889"/>
    </row>
    <row r="82" spans="1:25" ht="14.5" customHeight="1">
      <c r="A82" s="861"/>
      <c r="B82" s="2583" t="s">
        <v>886</v>
      </c>
      <c r="C82" s="2584"/>
      <c r="D82" s="2584"/>
      <c r="E82" s="2584"/>
      <c r="F82" s="2584"/>
      <c r="G82" s="2584"/>
      <c r="H82" s="2584"/>
      <c r="I82" s="2585"/>
      <c r="N82" s="889">
        <v>24</v>
      </c>
      <c r="O82" s="890"/>
      <c r="P82" s="890"/>
      <c r="Q82" s="889">
        <v>24</v>
      </c>
      <c r="R82" s="890"/>
      <c r="S82" s="890"/>
      <c r="T82" s="890"/>
      <c r="U82" s="898" t="s">
        <v>151</v>
      </c>
      <c r="V82" s="888" t="s">
        <v>870</v>
      </c>
      <c r="W82" s="889"/>
      <c r="X82" s="898" t="s">
        <v>151</v>
      </c>
      <c r="Y82" s="888" t="s">
        <v>870</v>
      </c>
    </row>
    <row r="83" spans="1:25">
      <c r="A83" s="861" t="s">
        <v>907</v>
      </c>
      <c r="B83" s="2586" t="s">
        <v>1333</v>
      </c>
      <c r="C83" s="2587"/>
      <c r="D83" s="2587"/>
      <c r="E83" s="2587"/>
      <c r="F83" s="2587"/>
      <c r="G83" s="2587"/>
      <c r="H83" s="2587"/>
      <c r="I83" s="2587"/>
      <c r="N83" s="889">
        <v>26</v>
      </c>
      <c r="O83" s="890"/>
      <c r="P83" s="890"/>
      <c r="Q83" s="889">
        <v>26</v>
      </c>
      <c r="R83" s="890"/>
      <c r="S83" s="890"/>
      <c r="T83" s="889">
        <v>2</v>
      </c>
      <c r="U83" s="890"/>
      <c r="V83" s="890"/>
      <c r="W83" s="889">
        <v>2</v>
      </c>
      <c r="X83" s="889"/>
      <c r="Y83" s="889"/>
    </row>
    <row r="84" spans="1:25">
      <c r="A84" s="861" t="s">
        <v>255</v>
      </c>
      <c r="B84" s="863" t="s">
        <v>896</v>
      </c>
      <c r="C84" s="863"/>
      <c r="D84" s="863" t="s">
        <v>900</v>
      </c>
      <c r="E84" s="863"/>
      <c r="F84" s="863"/>
      <c r="G84" s="907"/>
      <c r="H84" s="2588"/>
      <c r="I84" s="2589"/>
      <c r="N84" s="889">
        <v>28</v>
      </c>
      <c r="O84" s="890"/>
      <c r="P84" s="890"/>
      <c r="Q84" s="889">
        <v>28</v>
      </c>
      <c r="R84" s="890"/>
      <c r="S84" s="890"/>
      <c r="T84" s="889">
        <v>4</v>
      </c>
      <c r="U84" s="890"/>
      <c r="V84" s="890"/>
      <c r="W84" s="891">
        <v>4</v>
      </c>
      <c r="X84" s="890"/>
      <c r="Y84" s="890"/>
    </row>
    <row r="85" spans="1:25">
      <c r="A85" s="861" t="s">
        <v>132</v>
      </c>
      <c r="B85" s="2590">
        <v>43724</v>
      </c>
      <c r="C85" s="2590"/>
      <c r="D85" s="2591"/>
      <c r="E85" s="2592"/>
      <c r="F85" s="2592"/>
      <c r="G85" s="2592"/>
      <c r="H85" s="2592"/>
      <c r="I85" s="2593"/>
      <c r="N85" s="889">
        <v>30</v>
      </c>
      <c r="O85" s="889"/>
      <c r="P85" s="908"/>
      <c r="Q85" s="889">
        <v>30</v>
      </c>
      <c r="R85" s="890"/>
      <c r="S85" s="890"/>
      <c r="T85" s="889">
        <v>6</v>
      </c>
      <c r="U85" s="890"/>
      <c r="V85" s="890"/>
      <c r="W85" s="909">
        <v>6</v>
      </c>
      <c r="X85" s="890"/>
      <c r="Y85" s="890"/>
    </row>
    <row r="86" spans="1:25">
      <c r="A86" s="864" t="s">
        <v>9</v>
      </c>
      <c r="B86" s="865" t="s">
        <v>879</v>
      </c>
      <c r="C86" s="870" t="s">
        <v>887</v>
      </c>
      <c r="E86" s="866"/>
      <c r="F86" s="866"/>
      <c r="G86" s="866"/>
      <c r="H86" s="866"/>
      <c r="I86" s="866"/>
      <c r="N86" s="900"/>
      <c r="O86" s="910"/>
      <c r="P86" s="911"/>
      <c r="Q86" s="900"/>
      <c r="R86" s="910"/>
      <c r="S86" s="911"/>
      <c r="T86" s="889">
        <v>8</v>
      </c>
      <c r="U86" s="896"/>
      <c r="V86" s="897"/>
      <c r="W86" s="891">
        <v>8</v>
      </c>
      <c r="X86" s="912"/>
      <c r="Y86" s="912"/>
    </row>
    <row r="87" spans="1:25">
      <c r="A87" s="864" t="s">
        <v>134</v>
      </c>
      <c r="B87" s="866"/>
      <c r="C87" s="866"/>
      <c r="D87" s="866"/>
      <c r="E87" s="866"/>
      <c r="F87" s="866"/>
      <c r="G87" s="866"/>
      <c r="H87" s="866"/>
      <c r="I87" s="866"/>
      <c r="N87" s="890" t="s">
        <v>9</v>
      </c>
      <c r="O87" s="890"/>
      <c r="P87" s="890"/>
      <c r="Q87" s="890" t="s">
        <v>134</v>
      </c>
      <c r="R87" s="890"/>
      <c r="S87" s="890"/>
      <c r="T87" s="889">
        <v>10</v>
      </c>
      <c r="U87" s="890"/>
      <c r="V87" s="890"/>
      <c r="W87" s="909">
        <v>10</v>
      </c>
      <c r="X87" s="889"/>
      <c r="Y87" s="889"/>
    </row>
    <row r="88" spans="1:25">
      <c r="A88" s="864" t="s">
        <v>317</v>
      </c>
      <c r="B88" s="866"/>
      <c r="C88" s="866"/>
      <c r="D88" s="866"/>
      <c r="E88" s="866"/>
      <c r="F88" s="866"/>
      <c r="G88" s="866"/>
      <c r="H88" s="866"/>
      <c r="I88" s="866"/>
      <c r="N88" s="890" t="s">
        <v>253</v>
      </c>
      <c r="O88" s="891"/>
      <c r="P88" s="890"/>
      <c r="Q88" s="890" t="s">
        <v>253</v>
      </c>
      <c r="R88" s="890"/>
      <c r="S88" s="890"/>
      <c r="T88" s="889">
        <v>12</v>
      </c>
      <c r="U88" s="887"/>
      <c r="V88" s="898"/>
      <c r="W88" s="891">
        <v>12</v>
      </c>
      <c r="X88" s="889"/>
      <c r="Y88" s="889"/>
    </row>
    <row r="89" spans="1:25" ht="14.5" customHeight="1">
      <c r="A89" s="864" t="s">
        <v>875</v>
      </c>
      <c r="B89" s="866"/>
      <c r="C89" s="866"/>
      <c r="D89" s="866"/>
      <c r="E89" s="866"/>
      <c r="F89" s="866"/>
      <c r="G89" s="866"/>
      <c r="H89" s="866"/>
      <c r="I89" s="866"/>
      <c r="N89" s="890"/>
      <c r="O89" s="898" t="s">
        <v>151</v>
      </c>
      <c r="P89" s="888" t="s">
        <v>870</v>
      </c>
      <c r="Q89" s="890"/>
      <c r="R89" s="898" t="s">
        <v>151</v>
      </c>
      <c r="S89" s="888" t="s">
        <v>870</v>
      </c>
      <c r="T89" s="889">
        <v>14</v>
      </c>
      <c r="U89" s="890"/>
      <c r="V89" s="889"/>
      <c r="W89" s="909">
        <v>14</v>
      </c>
      <c r="X89" s="889"/>
      <c r="Y89" s="889"/>
    </row>
    <row r="90" spans="1:25">
      <c r="A90" s="867" t="s">
        <v>876</v>
      </c>
      <c r="B90" s="866"/>
      <c r="C90" s="866"/>
      <c r="D90" s="866"/>
      <c r="E90" s="866"/>
      <c r="F90" s="866"/>
      <c r="G90" s="866"/>
      <c r="H90" s="866"/>
      <c r="I90" s="866"/>
      <c r="N90" s="889">
        <v>2</v>
      </c>
      <c r="O90" s="890"/>
      <c r="P90" s="891"/>
      <c r="Q90" s="889">
        <v>2</v>
      </c>
      <c r="R90" s="913"/>
      <c r="S90" s="913"/>
      <c r="T90" s="900"/>
      <c r="U90" s="910"/>
      <c r="V90" s="911"/>
      <c r="W90" s="901"/>
      <c r="X90" s="901"/>
      <c r="Y90" s="901"/>
    </row>
    <row r="91" spans="1:25">
      <c r="A91" s="864" t="s">
        <v>890</v>
      </c>
      <c r="B91" s="868">
        <v>0.4</v>
      </c>
      <c r="C91" s="868">
        <v>0.4</v>
      </c>
      <c r="D91" s="868"/>
      <c r="E91" s="866"/>
      <c r="F91" s="866"/>
      <c r="G91" s="866"/>
      <c r="H91" s="866"/>
      <c r="I91" s="866"/>
      <c r="N91" s="889">
        <v>4</v>
      </c>
      <c r="O91" s="890"/>
      <c r="P91" s="890"/>
      <c r="Q91" s="889">
        <v>4</v>
      </c>
      <c r="R91" s="913"/>
      <c r="S91" s="913"/>
      <c r="T91" s="885" t="s">
        <v>9</v>
      </c>
      <c r="U91" s="890"/>
      <c r="V91" s="890"/>
      <c r="W91" s="885" t="s">
        <v>9</v>
      </c>
      <c r="X91" s="890"/>
      <c r="Y91" s="890"/>
    </row>
    <row r="92" spans="1:25">
      <c r="A92" s="864" t="s">
        <v>888</v>
      </c>
      <c r="B92" s="868"/>
      <c r="C92" s="868"/>
      <c r="D92" s="868"/>
      <c r="E92" s="868"/>
      <c r="F92" s="868"/>
      <c r="G92" s="868"/>
      <c r="H92" s="868"/>
      <c r="I92" s="868"/>
      <c r="N92" s="889">
        <v>6</v>
      </c>
      <c r="O92" s="890"/>
      <c r="P92" s="890"/>
      <c r="Q92" s="889">
        <v>6</v>
      </c>
      <c r="R92" s="913"/>
      <c r="S92" s="913"/>
      <c r="T92" s="890" t="s">
        <v>253</v>
      </c>
      <c r="U92" s="890"/>
      <c r="V92" s="887"/>
      <c r="W92" s="890" t="s">
        <v>253</v>
      </c>
      <c r="X92" s="889"/>
      <c r="Y92" s="889"/>
    </row>
    <row r="93" spans="1:25" ht="13" customHeight="1">
      <c r="A93" s="864" t="s">
        <v>889</v>
      </c>
      <c r="B93" s="868"/>
      <c r="C93" s="868"/>
      <c r="D93" s="868"/>
      <c r="E93" s="868"/>
      <c r="F93" s="868"/>
      <c r="G93" s="868"/>
      <c r="H93" s="868"/>
      <c r="I93" s="868"/>
      <c r="N93" s="889">
        <v>8</v>
      </c>
      <c r="O93" s="890"/>
      <c r="P93" s="890"/>
      <c r="Q93" s="889">
        <v>8</v>
      </c>
      <c r="R93" s="913"/>
      <c r="S93" s="913"/>
      <c r="T93" s="890"/>
      <c r="U93" s="898" t="s">
        <v>151</v>
      </c>
      <c r="V93" s="888" t="s">
        <v>870</v>
      </c>
      <c r="W93" s="889">
        <v>2</v>
      </c>
      <c r="X93" s="898" t="s">
        <v>151</v>
      </c>
      <c r="Y93" s="888" t="s">
        <v>870</v>
      </c>
    </row>
    <row r="94" spans="1:25">
      <c r="A94" s="864" t="s">
        <v>138</v>
      </c>
      <c r="B94" s="866"/>
      <c r="C94" s="866"/>
      <c r="D94" s="866"/>
      <c r="E94" s="866"/>
      <c r="F94" s="866"/>
      <c r="G94" s="866"/>
      <c r="H94" s="866"/>
      <c r="I94" s="866"/>
      <c r="N94" s="889">
        <v>10</v>
      </c>
      <c r="O94" s="890"/>
      <c r="P94" s="890"/>
      <c r="Q94" s="889">
        <v>10</v>
      </c>
      <c r="R94" s="913"/>
      <c r="S94" s="913"/>
      <c r="T94" s="889">
        <v>2</v>
      </c>
      <c r="U94" s="890"/>
      <c r="V94" s="914"/>
      <c r="W94" s="889">
        <v>2</v>
      </c>
      <c r="X94" s="889"/>
      <c r="Y94" s="889"/>
    </row>
    <row r="95" spans="1:25">
      <c r="A95" s="864" t="s">
        <v>137</v>
      </c>
      <c r="B95" s="866"/>
      <c r="C95" s="866"/>
      <c r="D95" s="866"/>
      <c r="E95" s="866"/>
      <c r="F95" s="866"/>
      <c r="G95" s="866"/>
      <c r="H95" s="866"/>
      <c r="I95" s="866"/>
      <c r="N95" s="889">
        <v>12</v>
      </c>
      <c r="O95" s="890"/>
      <c r="P95" s="890"/>
      <c r="Q95" s="889">
        <v>12</v>
      </c>
      <c r="R95" s="890"/>
      <c r="S95" s="890"/>
      <c r="T95" s="889">
        <v>4</v>
      </c>
      <c r="U95" s="890"/>
      <c r="V95" s="914"/>
      <c r="W95" s="889">
        <v>4</v>
      </c>
      <c r="X95" s="915"/>
      <c r="Y95" s="915"/>
    </row>
    <row r="96" spans="1:25">
      <c r="A96" s="864" t="s">
        <v>136</v>
      </c>
      <c r="B96" s="866"/>
      <c r="C96" s="866"/>
      <c r="D96" s="866"/>
      <c r="E96" s="866"/>
      <c r="F96" s="866"/>
      <c r="G96" s="866"/>
      <c r="H96" s="866"/>
      <c r="I96" s="866"/>
      <c r="N96" s="889">
        <v>14</v>
      </c>
      <c r="O96" s="890"/>
      <c r="P96" s="890"/>
      <c r="Q96" s="889">
        <v>14</v>
      </c>
      <c r="R96" s="916"/>
      <c r="S96" s="916"/>
      <c r="T96" s="889">
        <v>6</v>
      </c>
      <c r="U96" s="890"/>
      <c r="V96" s="914"/>
      <c r="W96" s="889">
        <v>6</v>
      </c>
      <c r="X96" s="890"/>
      <c r="Y96" s="890"/>
    </row>
    <row r="97" spans="1:25">
      <c r="A97" s="864" t="s">
        <v>135</v>
      </c>
      <c r="B97" s="866"/>
      <c r="C97" s="866"/>
      <c r="D97" s="866"/>
      <c r="E97" s="866"/>
      <c r="F97" s="866"/>
      <c r="G97" s="866"/>
      <c r="H97" s="866"/>
      <c r="I97" s="866"/>
      <c r="N97" s="889">
        <v>16</v>
      </c>
      <c r="O97" s="890"/>
      <c r="P97" s="890"/>
      <c r="Q97" s="889">
        <v>16</v>
      </c>
      <c r="R97" s="889"/>
      <c r="S97" s="889"/>
      <c r="T97" s="889">
        <v>8</v>
      </c>
      <c r="U97" s="917"/>
      <c r="V97" s="918"/>
      <c r="W97" s="889">
        <v>8</v>
      </c>
      <c r="X97" s="890"/>
      <c r="Y97" s="890"/>
    </row>
    <row r="98" spans="1:25">
      <c r="A98" s="864" t="s">
        <v>246</v>
      </c>
      <c r="B98" s="872"/>
      <c r="C98" s="866"/>
      <c r="D98" s="866"/>
      <c r="E98" s="866"/>
      <c r="F98" s="866"/>
      <c r="G98" s="866"/>
      <c r="H98" s="866"/>
      <c r="I98" s="866"/>
      <c r="N98" s="889">
        <v>18</v>
      </c>
      <c r="O98" s="890"/>
      <c r="P98" s="890"/>
      <c r="Q98" s="889">
        <v>18</v>
      </c>
      <c r="R98" s="889"/>
      <c r="S98" s="889"/>
      <c r="T98" s="889">
        <v>10</v>
      </c>
      <c r="U98" s="890"/>
      <c r="V98" s="890"/>
      <c r="W98" s="889">
        <v>10</v>
      </c>
      <c r="X98" s="898"/>
      <c r="Y98" s="898"/>
    </row>
    <row r="99" spans="1:25">
      <c r="A99" s="867" t="s">
        <v>253</v>
      </c>
      <c r="B99" s="866"/>
      <c r="C99" s="866"/>
      <c r="D99" s="866"/>
      <c r="E99" s="866"/>
      <c r="F99" s="866"/>
      <c r="G99" s="866"/>
      <c r="H99" s="866"/>
      <c r="I99" s="866"/>
      <c r="N99" s="889">
        <v>20</v>
      </c>
      <c r="O99" s="890"/>
      <c r="P99" s="890"/>
      <c r="Q99" s="889">
        <v>20</v>
      </c>
      <c r="R99" s="889"/>
      <c r="S99" s="889"/>
      <c r="T99" s="889">
        <v>12</v>
      </c>
      <c r="U99" s="890"/>
      <c r="V99" s="890"/>
      <c r="W99" s="889">
        <v>12</v>
      </c>
      <c r="X99" s="889"/>
      <c r="Y99" s="889"/>
    </row>
    <row r="100" spans="1:25">
      <c r="A100" s="867" t="s">
        <v>151</v>
      </c>
      <c r="B100" s="866"/>
      <c r="C100" s="866"/>
      <c r="D100" s="866"/>
      <c r="E100" s="866"/>
      <c r="F100" s="866"/>
      <c r="G100" s="866"/>
      <c r="H100" s="866"/>
      <c r="I100" s="866"/>
      <c r="N100" s="889">
        <v>22</v>
      </c>
      <c r="O100" s="890"/>
      <c r="P100" s="890"/>
      <c r="Q100" s="889">
        <v>22</v>
      </c>
      <c r="R100" s="889"/>
      <c r="S100" s="889"/>
      <c r="T100" s="889">
        <v>14</v>
      </c>
      <c r="U100" s="898"/>
      <c r="V100" s="898"/>
      <c r="W100" s="889">
        <v>14</v>
      </c>
      <c r="X100" s="889"/>
      <c r="Y100" s="889"/>
    </row>
    <row r="101" spans="1:25">
      <c r="A101" s="867" t="s">
        <v>870</v>
      </c>
      <c r="B101" s="866"/>
      <c r="C101" s="866"/>
      <c r="D101" s="866"/>
      <c r="E101" s="866"/>
      <c r="F101" s="866"/>
      <c r="G101" s="866"/>
      <c r="H101" s="866"/>
      <c r="I101" s="866"/>
    </row>
    <row r="102" spans="1:25">
      <c r="B102" s="862" t="s">
        <v>1195</v>
      </c>
    </row>
  </sheetData>
  <mergeCells count="19">
    <mergeCell ref="B1:I1"/>
    <mergeCell ref="D4:I4"/>
    <mergeCell ref="B4:C4"/>
    <mergeCell ref="B2:I2"/>
    <mergeCell ref="W49:Y49"/>
    <mergeCell ref="T49:V49"/>
    <mergeCell ref="F3:I3"/>
    <mergeCell ref="T79:V79"/>
    <mergeCell ref="N67:P67"/>
    <mergeCell ref="Q67:S67"/>
    <mergeCell ref="B51:I51"/>
    <mergeCell ref="B53:I53"/>
    <mergeCell ref="B54:C54"/>
    <mergeCell ref="D54:I54"/>
    <mergeCell ref="B82:I82"/>
    <mergeCell ref="B83:I83"/>
    <mergeCell ref="H84:I84"/>
    <mergeCell ref="B85:C85"/>
    <mergeCell ref="D85:I85"/>
  </mergeCells>
  <pageMargins left="0.5" right="0.25" top="0.75" bottom="0.75" header="0.3" footer="0.3"/>
  <pageSetup scale="88" orientation="portrait" horizontalDpi="360" verticalDpi="36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26"/>
  <sheetViews>
    <sheetView topLeftCell="A7" workbookViewId="0">
      <selection activeCell="O12" sqref="O12"/>
    </sheetView>
  </sheetViews>
  <sheetFormatPr defaultRowHeight="11.5"/>
  <cols>
    <col min="1" max="1" width="21.6328125" style="464" bestFit="1" customWidth="1"/>
    <col min="2" max="2" width="8.6328125" style="464" customWidth="1"/>
    <col min="3" max="16384" width="8.7265625" style="464"/>
  </cols>
  <sheetData>
    <row r="1" spans="1:12" ht="12" thickBot="1">
      <c r="A1" s="2611" t="s">
        <v>996</v>
      </c>
      <c r="B1" s="2611"/>
      <c r="C1" s="2611"/>
      <c r="D1" s="2611"/>
      <c r="E1" s="2611"/>
      <c r="F1" s="2611"/>
      <c r="G1" s="2611"/>
      <c r="H1" s="2611"/>
      <c r="I1" s="2611"/>
      <c r="J1" s="2611"/>
      <c r="K1" s="2611"/>
      <c r="L1" s="2611"/>
    </row>
    <row r="2" spans="1:12">
      <c r="A2" s="2612"/>
      <c r="B2" s="2614" t="s">
        <v>997</v>
      </c>
      <c r="C2" s="2614" t="s">
        <v>998</v>
      </c>
      <c r="D2" s="2616" t="s">
        <v>999</v>
      </c>
      <c r="E2" s="2616" t="s">
        <v>1000</v>
      </c>
      <c r="F2" s="2616" t="s">
        <v>1001</v>
      </c>
      <c r="G2" s="2616" t="s">
        <v>1002</v>
      </c>
      <c r="H2" s="2616" t="s">
        <v>1003</v>
      </c>
      <c r="I2" s="2616" t="s">
        <v>1004</v>
      </c>
      <c r="J2" s="2616" t="s">
        <v>1005</v>
      </c>
      <c r="K2" s="2616" t="s">
        <v>1006</v>
      </c>
      <c r="L2" s="2618" t="s">
        <v>1007</v>
      </c>
    </row>
    <row r="3" spans="1:12" ht="12" thickBot="1">
      <c r="A3" s="2613"/>
      <c r="B3" s="2615"/>
      <c r="C3" s="2615"/>
      <c r="D3" s="2617"/>
      <c r="E3" s="2617"/>
      <c r="F3" s="2617"/>
      <c r="G3" s="2617"/>
      <c r="H3" s="2617"/>
      <c r="I3" s="2617"/>
      <c r="J3" s="2617"/>
      <c r="K3" s="2617"/>
      <c r="L3" s="2619"/>
    </row>
    <row r="4" spans="1:12">
      <c r="A4" s="2612" t="s">
        <v>1008</v>
      </c>
      <c r="B4" s="2620"/>
      <c r="C4" s="2620"/>
      <c r="D4" s="2620"/>
      <c r="E4" s="2620"/>
      <c r="F4" s="2620"/>
      <c r="G4" s="2620"/>
      <c r="H4" s="2620"/>
      <c r="I4" s="2620"/>
      <c r="J4" s="2620"/>
      <c r="K4" s="2620"/>
      <c r="L4" s="2621"/>
    </row>
    <row r="5" spans="1:12">
      <c r="A5" s="631" t="s">
        <v>1009</v>
      </c>
      <c r="B5" s="632" t="s">
        <v>1010</v>
      </c>
      <c r="C5" s="632" t="s">
        <v>1010</v>
      </c>
      <c r="D5" s="633" t="s">
        <v>1011</v>
      </c>
      <c r="E5" s="633" t="s">
        <v>1011</v>
      </c>
      <c r="F5" s="633" t="s">
        <v>1011</v>
      </c>
      <c r="G5" s="633" t="s">
        <v>1011</v>
      </c>
      <c r="H5" s="633" t="s">
        <v>1011</v>
      </c>
      <c r="I5" s="633" t="s">
        <v>1011</v>
      </c>
      <c r="J5" s="633" t="s">
        <v>1011</v>
      </c>
      <c r="K5" s="633" t="s">
        <v>1011</v>
      </c>
      <c r="L5" s="634" t="s">
        <v>1012</v>
      </c>
    </row>
    <row r="6" spans="1:12">
      <c r="A6" s="631" t="s">
        <v>1013</v>
      </c>
      <c r="B6" s="635">
        <v>1731</v>
      </c>
      <c r="C6" s="635">
        <v>1766</v>
      </c>
      <c r="D6" s="636">
        <v>1959</v>
      </c>
      <c r="E6" s="636">
        <v>1999</v>
      </c>
      <c r="F6" s="636">
        <v>2076</v>
      </c>
      <c r="G6" s="636">
        <v>2117</v>
      </c>
      <c r="H6" s="636">
        <v>2151</v>
      </c>
      <c r="I6" s="636">
        <v>2165</v>
      </c>
      <c r="J6" s="636">
        <v>2264</v>
      </c>
      <c r="K6" s="636">
        <v>2546</v>
      </c>
      <c r="L6" s="637">
        <v>1639</v>
      </c>
    </row>
    <row r="7" spans="1:12" ht="12" thickBot="1">
      <c r="A7" s="638" t="s">
        <v>1014</v>
      </c>
      <c r="B7" s="639">
        <v>0.03</v>
      </c>
      <c r="C7" s="639">
        <v>0.03</v>
      </c>
      <c r="D7" s="640">
        <v>0.01</v>
      </c>
      <c r="E7" s="640">
        <v>0.01</v>
      </c>
      <c r="F7" s="640">
        <v>0.02</v>
      </c>
      <c r="G7" s="640">
        <v>0.03</v>
      </c>
      <c r="H7" s="640">
        <v>0.02</v>
      </c>
      <c r="I7" s="640">
        <v>0.02</v>
      </c>
      <c r="J7" s="640">
        <v>0.01</v>
      </c>
      <c r="K7" s="640">
        <v>0.02</v>
      </c>
      <c r="L7" s="641">
        <v>0.01</v>
      </c>
    </row>
    <row r="8" spans="1:12">
      <c r="A8" s="2622" t="s">
        <v>1015</v>
      </c>
      <c r="B8" s="2623"/>
      <c r="C8" s="2623"/>
      <c r="D8" s="2623"/>
      <c r="E8" s="2623"/>
      <c r="F8" s="2623"/>
      <c r="G8" s="2623"/>
      <c r="H8" s="2623"/>
      <c r="I8" s="2623"/>
      <c r="J8" s="2623"/>
      <c r="K8" s="2623"/>
      <c r="L8" s="2624"/>
    </row>
    <row r="9" spans="1:12">
      <c r="A9" s="642" t="s">
        <v>1016</v>
      </c>
      <c r="B9" s="632">
        <v>14</v>
      </c>
      <c r="C9" s="632">
        <v>4</v>
      </c>
      <c r="D9" s="633">
        <v>18</v>
      </c>
      <c r="E9" s="633">
        <v>18</v>
      </c>
      <c r="F9" s="633">
        <v>14</v>
      </c>
      <c r="G9" s="633">
        <v>14</v>
      </c>
      <c r="H9" s="633">
        <v>0</v>
      </c>
      <c r="I9" s="633">
        <v>17</v>
      </c>
      <c r="J9" s="633">
        <v>7</v>
      </c>
      <c r="K9" s="633">
        <v>4</v>
      </c>
      <c r="L9" s="634">
        <v>10</v>
      </c>
    </row>
    <row r="10" spans="1:12" ht="14">
      <c r="A10" s="642" t="s">
        <v>1025</v>
      </c>
      <c r="B10" s="632">
        <v>3</v>
      </c>
      <c r="C10" s="632">
        <v>6</v>
      </c>
      <c r="D10" s="633">
        <v>4</v>
      </c>
      <c r="E10" s="633">
        <v>3</v>
      </c>
      <c r="F10" s="633">
        <v>7</v>
      </c>
      <c r="G10" s="633">
        <v>5</v>
      </c>
      <c r="H10" s="633">
        <v>5</v>
      </c>
      <c r="I10" s="633">
        <v>2</v>
      </c>
      <c r="J10" s="633">
        <v>9</v>
      </c>
      <c r="K10" s="633">
        <v>10</v>
      </c>
      <c r="L10" s="634">
        <v>5</v>
      </c>
    </row>
    <row r="11" spans="1:12">
      <c r="A11" s="642" t="s">
        <v>1017</v>
      </c>
      <c r="B11" s="632">
        <v>17</v>
      </c>
      <c r="C11" s="632">
        <v>13</v>
      </c>
      <c r="D11" s="633">
        <v>4</v>
      </c>
      <c r="E11" s="633">
        <v>5</v>
      </c>
      <c r="F11" s="633">
        <v>4</v>
      </c>
      <c r="G11" s="633">
        <v>16</v>
      </c>
      <c r="H11" s="633">
        <v>17</v>
      </c>
      <c r="I11" s="633">
        <v>23</v>
      </c>
      <c r="J11" s="633">
        <v>39</v>
      </c>
      <c r="K11" s="633">
        <v>5</v>
      </c>
      <c r="L11" s="634">
        <v>12</v>
      </c>
    </row>
    <row r="12" spans="1:12">
      <c r="A12" s="642" t="s">
        <v>1018</v>
      </c>
      <c r="B12" s="632">
        <v>48</v>
      </c>
      <c r="C12" s="632">
        <v>29</v>
      </c>
      <c r="D12" s="633">
        <v>23</v>
      </c>
      <c r="E12" s="633">
        <v>10</v>
      </c>
      <c r="F12" s="633">
        <v>21</v>
      </c>
      <c r="G12" s="633">
        <v>34</v>
      </c>
      <c r="H12" s="633">
        <v>59</v>
      </c>
      <c r="I12" s="633">
        <v>14</v>
      </c>
      <c r="J12" s="633">
        <v>23</v>
      </c>
      <c r="K12" s="633">
        <v>12</v>
      </c>
      <c r="L12" s="634">
        <v>28</v>
      </c>
    </row>
    <row r="13" spans="1:12">
      <c r="A13" s="642" t="s">
        <v>1019</v>
      </c>
      <c r="B13" s="632">
        <v>9</v>
      </c>
      <c r="C13" s="632">
        <v>8</v>
      </c>
      <c r="D13" s="633">
        <v>6</v>
      </c>
      <c r="E13" s="633">
        <v>7</v>
      </c>
      <c r="F13" s="633">
        <v>6</v>
      </c>
      <c r="G13" s="633">
        <v>8</v>
      </c>
      <c r="H13" s="633">
        <v>12</v>
      </c>
      <c r="I13" s="633">
        <v>6</v>
      </c>
      <c r="J13" s="633">
        <v>10</v>
      </c>
      <c r="K13" s="633">
        <v>10</v>
      </c>
      <c r="L13" s="634">
        <v>4</v>
      </c>
    </row>
    <row r="14" spans="1:12" ht="14.5" thickBot="1">
      <c r="A14" s="643" t="s">
        <v>1026</v>
      </c>
      <c r="B14" s="644">
        <v>11</v>
      </c>
      <c r="C14" s="644">
        <v>10</v>
      </c>
      <c r="D14" s="645">
        <v>7</v>
      </c>
      <c r="E14" s="645">
        <v>8</v>
      </c>
      <c r="F14" s="645">
        <v>9</v>
      </c>
      <c r="G14" s="645">
        <v>11</v>
      </c>
      <c r="H14" s="645">
        <v>9</v>
      </c>
      <c r="I14" s="645">
        <v>8</v>
      </c>
      <c r="J14" s="645">
        <v>14</v>
      </c>
      <c r="K14" s="645">
        <v>13</v>
      </c>
      <c r="L14" s="646">
        <v>4</v>
      </c>
    </row>
    <row r="15" spans="1:12">
      <c r="A15" s="2612" t="s">
        <v>1020</v>
      </c>
      <c r="B15" s="2620"/>
      <c r="C15" s="2620"/>
      <c r="D15" s="2620"/>
      <c r="E15" s="2620"/>
      <c r="F15" s="2620"/>
      <c r="G15" s="2620"/>
      <c r="H15" s="2620"/>
      <c r="I15" s="2620"/>
      <c r="J15" s="2620"/>
      <c r="K15" s="2620"/>
      <c r="L15" s="2621"/>
    </row>
    <row r="16" spans="1:12">
      <c r="A16" s="642" t="s">
        <v>1016</v>
      </c>
      <c r="B16" s="647">
        <v>49.15</v>
      </c>
      <c r="C16" s="632">
        <v>86</v>
      </c>
      <c r="D16" s="648">
        <v>35</v>
      </c>
      <c r="E16" s="648">
        <v>37</v>
      </c>
      <c r="F16" s="648">
        <v>49</v>
      </c>
      <c r="G16" s="648">
        <v>49</v>
      </c>
      <c r="H16" s="648">
        <v>100</v>
      </c>
      <c r="I16" s="647">
        <v>40.67</v>
      </c>
      <c r="J16" s="647">
        <v>76</v>
      </c>
      <c r="K16" s="647">
        <v>87.29</v>
      </c>
      <c r="L16" s="649">
        <v>64</v>
      </c>
    </row>
    <row r="17" spans="1:12" ht="14">
      <c r="A17" s="642" t="s">
        <v>1025</v>
      </c>
      <c r="B17" s="647">
        <v>45</v>
      </c>
      <c r="C17" s="632">
        <v>75</v>
      </c>
      <c r="D17" s="648">
        <v>41</v>
      </c>
      <c r="E17" s="648">
        <v>28</v>
      </c>
      <c r="F17" s="648">
        <v>66</v>
      </c>
      <c r="G17" s="648">
        <v>42</v>
      </c>
      <c r="H17" s="648">
        <v>40</v>
      </c>
      <c r="I17" s="647">
        <v>7</v>
      </c>
      <c r="J17" s="647">
        <v>76</v>
      </c>
      <c r="K17" s="647">
        <v>69</v>
      </c>
      <c r="L17" s="649">
        <v>72</v>
      </c>
    </row>
    <row r="18" spans="1:12">
      <c r="A18" s="642" t="s">
        <v>1017</v>
      </c>
      <c r="B18" s="647">
        <v>76</v>
      </c>
      <c r="C18" s="632">
        <v>82</v>
      </c>
      <c r="D18" s="648">
        <v>95</v>
      </c>
      <c r="E18" s="648">
        <v>94</v>
      </c>
      <c r="F18" s="648">
        <v>96</v>
      </c>
      <c r="G18" s="648">
        <v>78</v>
      </c>
      <c r="H18" s="648">
        <v>76</v>
      </c>
      <c r="I18" s="647">
        <v>66</v>
      </c>
      <c r="J18" s="647">
        <v>43</v>
      </c>
      <c r="K18" s="647">
        <v>95</v>
      </c>
      <c r="L18" s="649">
        <v>83</v>
      </c>
    </row>
    <row r="19" spans="1:12">
      <c r="A19" s="642" t="s">
        <v>1018</v>
      </c>
      <c r="B19" s="650">
        <v>78</v>
      </c>
      <c r="C19" s="632">
        <v>47</v>
      </c>
      <c r="D19" s="651">
        <v>38</v>
      </c>
      <c r="E19" s="651">
        <v>17</v>
      </c>
      <c r="F19" s="651">
        <v>34</v>
      </c>
      <c r="G19" s="651">
        <v>56</v>
      </c>
      <c r="H19" s="651">
        <v>95</v>
      </c>
      <c r="I19" s="650">
        <v>22</v>
      </c>
      <c r="J19" s="650">
        <v>38</v>
      </c>
      <c r="K19" s="650">
        <v>19</v>
      </c>
      <c r="L19" s="652">
        <v>46</v>
      </c>
    </row>
    <row r="20" spans="1:12">
      <c r="A20" s="642" t="s">
        <v>1019</v>
      </c>
      <c r="B20" s="650">
        <v>64</v>
      </c>
      <c r="C20" s="632">
        <v>57</v>
      </c>
      <c r="D20" s="651">
        <v>43</v>
      </c>
      <c r="E20" s="651">
        <v>50</v>
      </c>
      <c r="F20" s="651">
        <v>43</v>
      </c>
      <c r="G20" s="651">
        <v>57</v>
      </c>
      <c r="H20" s="651">
        <v>86</v>
      </c>
      <c r="I20" s="650">
        <v>43</v>
      </c>
      <c r="J20" s="650">
        <v>71</v>
      </c>
      <c r="K20" s="650">
        <v>71</v>
      </c>
      <c r="L20" s="652">
        <v>29</v>
      </c>
    </row>
    <row r="21" spans="1:12" ht="14">
      <c r="A21" s="642" t="s">
        <v>1026</v>
      </c>
      <c r="B21" s="650">
        <v>92</v>
      </c>
      <c r="C21" s="632">
        <v>82</v>
      </c>
      <c r="D21" s="651">
        <v>45</v>
      </c>
      <c r="E21" s="651">
        <v>51</v>
      </c>
      <c r="F21" s="651">
        <v>55</v>
      </c>
      <c r="G21" s="651">
        <v>70</v>
      </c>
      <c r="H21" s="651">
        <v>51</v>
      </c>
      <c r="I21" s="650">
        <v>41</v>
      </c>
      <c r="J21" s="650">
        <v>87</v>
      </c>
      <c r="K21" s="650">
        <v>61</v>
      </c>
      <c r="L21" s="652">
        <v>38</v>
      </c>
    </row>
    <row r="22" spans="1:12" ht="12" thickBot="1">
      <c r="A22" s="653" t="s">
        <v>1021</v>
      </c>
      <c r="B22" s="654">
        <v>67</v>
      </c>
      <c r="C22" s="655">
        <v>72</v>
      </c>
      <c r="D22" s="656">
        <v>50</v>
      </c>
      <c r="E22" s="656">
        <v>46</v>
      </c>
      <c r="F22" s="656">
        <v>57</v>
      </c>
      <c r="G22" s="656">
        <v>59</v>
      </c>
      <c r="H22" s="656">
        <v>75</v>
      </c>
      <c r="I22" s="654">
        <v>37</v>
      </c>
      <c r="J22" s="654">
        <v>65</v>
      </c>
      <c r="K22" s="654">
        <v>67</v>
      </c>
      <c r="L22" s="657">
        <v>55</v>
      </c>
    </row>
    <row r="23" spans="1:12" ht="12" thickBot="1">
      <c r="A23" s="2626" t="s">
        <v>1022</v>
      </c>
      <c r="B23" s="2627"/>
      <c r="C23" s="2627"/>
      <c r="D23" s="2627"/>
      <c r="E23" s="2627"/>
      <c r="F23" s="2627"/>
      <c r="G23" s="2627"/>
      <c r="H23" s="2627"/>
      <c r="I23" s="2627"/>
      <c r="J23" s="2627"/>
      <c r="K23" s="2627"/>
      <c r="L23" s="2628"/>
    </row>
    <row r="24" spans="1:12">
      <c r="A24" s="658" t="s">
        <v>1023</v>
      </c>
      <c r="B24" s="659">
        <v>4.68</v>
      </c>
      <c r="C24" s="660">
        <v>4.7</v>
      </c>
      <c r="D24" s="661">
        <v>2.88</v>
      </c>
      <c r="E24" s="661">
        <v>3.36</v>
      </c>
      <c r="F24" s="661">
        <v>4.46</v>
      </c>
      <c r="G24" s="661">
        <v>4.5999999999999996</v>
      </c>
      <c r="H24" s="661">
        <v>4.47</v>
      </c>
      <c r="I24" s="659">
        <v>5.04</v>
      </c>
      <c r="J24" s="659">
        <v>4.83</v>
      </c>
      <c r="K24" s="659">
        <v>2.71</v>
      </c>
      <c r="L24" s="662">
        <v>5.04</v>
      </c>
    </row>
    <row r="25" spans="1:12" ht="12" thickBot="1">
      <c r="A25" s="643" t="s">
        <v>1024</v>
      </c>
      <c r="B25" s="663">
        <v>3.4</v>
      </c>
      <c r="C25" s="664">
        <v>2.82</v>
      </c>
      <c r="D25" s="665">
        <v>2.6</v>
      </c>
      <c r="E25" s="665">
        <v>2.14</v>
      </c>
      <c r="F25" s="665">
        <v>2.39</v>
      </c>
      <c r="G25" s="665">
        <v>2.71</v>
      </c>
      <c r="H25" s="665">
        <v>3.01</v>
      </c>
      <c r="I25" s="663">
        <v>2.59</v>
      </c>
      <c r="J25" s="663">
        <v>3.81</v>
      </c>
      <c r="K25" s="663">
        <v>3.4</v>
      </c>
      <c r="L25" s="666">
        <v>3.02</v>
      </c>
    </row>
    <row r="26" spans="1:12" ht="14">
      <c r="A26" s="2625" t="s">
        <v>1027</v>
      </c>
      <c r="B26" s="2625"/>
      <c r="C26" s="667"/>
      <c r="D26" s="667"/>
      <c r="E26" s="667"/>
      <c r="F26" s="667"/>
      <c r="G26" s="667"/>
      <c r="H26" s="667"/>
      <c r="I26" s="667"/>
      <c r="J26" s="667"/>
      <c r="K26" s="667"/>
      <c r="L26" s="667"/>
    </row>
  </sheetData>
  <mergeCells count="18">
    <mergeCell ref="A4:L4"/>
    <mergeCell ref="A8:L8"/>
    <mergeCell ref="A15:L15"/>
    <mergeCell ref="A26:B26"/>
    <mergeCell ref="A23:L23"/>
    <mergeCell ref="A1:L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pageMargins left="0.7" right="0.7" top="0.75" bottom="0.75" header="0.3" footer="0.3"/>
  <pageSetup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F4B4F-481E-4932-A9BE-8E3D83658778}">
  <dimension ref="A2:X31"/>
  <sheetViews>
    <sheetView topLeftCell="A7" workbookViewId="0">
      <selection activeCell="A17" sqref="A17:H31"/>
    </sheetView>
  </sheetViews>
  <sheetFormatPr defaultRowHeight="14"/>
  <cols>
    <col min="2" max="2" width="9.453125" bestFit="1" customWidth="1"/>
    <col min="3" max="3" width="8.26953125" bestFit="1" customWidth="1"/>
    <col min="4" max="4" width="8.54296875" bestFit="1" customWidth="1"/>
    <col min="7" max="8" width="8.26953125" bestFit="1" customWidth="1"/>
    <col min="9" max="9" width="6.90625" bestFit="1" customWidth="1"/>
    <col min="12" max="12" width="8" bestFit="1" customWidth="1"/>
    <col min="13" max="13" width="5.453125" bestFit="1" customWidth="1"/>
    <col min="14" max="14" width="5.1796875" customWidth="1"/>
    <col min="15" max="15" width="5.36328125" bestFit="1" customWidth="1"/>
    <col min="16" max="16" width="4.90625" bestFit="1" customWidth="1"/>
    <col min="18" max="18" width="11.6328125" bestFit="1" customWidth="1"/>
    <col min="19" max="19" width="8.1796875" bestFit="1" customWidth="1"/>
    <col min="20" max="20" width="8.36328125" bestFit="1" customWidth="1"/>
  </cols>
  <sheetData>
    <row r="2" spans="1:24">
      <c r="A2" s="2629" t="s">
        <v>1288</v>
      </c>
      <c r="B2" s="2630"/>
      <c r="C2" s="2630"/>
      <c r="D2" s="2630"/>
      <c r="E2" s="2630"/>
      <c r="F2" s="2630"/>
      <c r="G2" s="2630"/>
      <c r="H2" s="2630"/>
      <c r="I2" s="2630"/>
      <c r="J2" s="2630"/>
      <c r="K2" s="2630"/>
      <c r="L2" s="2630"/>
      <c r="M2" s="2630"/>
      <c r="N2" s="91"/>
      <c r="O2" s="91"/>
      <c r="Q2" s="106">
        <v>43696</v>
      </c>
      <c r="R2" s="91"/>
      <c r="S2" s="91"/>
      <c r="T2" s="91"/>
      <c r="U2" s="91"/>
      <c r="V2" s="91"/>
      <c r="W2" s="91"/>
      <c r="X2" s="91"/>
    </row>
    <row r="3" spans="1:24" ht="34.5">
      <c r="A3" s="709" t="s">
        <v>1289</v>
      </c>
      <c r="B3" s="709" t="s">
        <v>1290</v>
      </c>
      <c r="C3" s="709" t="s">
        <v>1291</v>
      </c>
      <c r="D3" s="709" t="s">
        <v>1292</v>
      </c>
      <c r="E3" s="709" t="s">
        <v>1293</v>
      </c>
      <c r="F3" s="709" t="s">
        <v>1294</v>
      </c>
      <c r="G3" s="709" t="s">
        <v>1295</v>
      </c>
      <c r="H3" s="709" t="s">
        <v>134</v>
      </c>
      <c r="I3" s="1178" t="s">
        <v>1296</v>
      </c>
      <c r="J3" s="1178" t="s">
        <v>1297</v>
      </c>
      <c r="K3" s="1178" t="s">
        <v>1328</v>
      </c>
      <c r="L3" s="111" t="s">
        <v>1329</v>
      </c>
      <c r="M3" s="111" t="s">
        <v>1298</v>
      </c>
      <c r="N3" s="111" t="s">
        <v>888</v>
      </c>
      <c r="O3" s="111" t="s">
        <v>854</v>
      </c>
      <c r="P3" s="111" t="s">
        <v>1330</v>
      </c>
      <c r="Q3" s="709" t="s">
        <v>1289</v>
      </c>
      <c r="R3" s="709" t="s">
        <v>1290</v>
      </c>
      <c r="S3" s="111" t="s">
        <v>253</v>
      </c>
      <c r="T3" s="111" t="s">
        <v>1327</v>
      </c>
      <c r="U3" s="111"/>
      <c r="V3" s="111"/>
      <c r="W3" s="111"/>
      <c r="X3" s="709"/>
    </row>
    <row r="4" spans="1:24" ht="26">
      <c r="A4" s="98" t="s">
        <v>940</v>
      </c>
      <c r="B4" s="98" t="s">
        <v>1299</v>
      </c>
      <c r="C4" s="584" t="s">
        <v>1300</v>
      </c>
      <c r="D4" s="584" t="s">
        <v>428</v>
      </c>
      <c r="E4" s="98" t="s">
        <v>1301</v>
      </c>
      <c r="F4" s="442" t="s">
        <v>1531</v>
      </c>
      <c r="G4" s="1176">
        <v>43696</v>
      </c>
      <c r="H4" s="1179"/>
      <c r="I4" s="584"/>
      <c r="J4" s="1156">
        <v>0.35</v>
      </c>
      <c r="K4" s="1195"/>
      <c r="L4" s="358"/>
      <c r="M4" s="584"/>
      <c r="N4" s="527"/>
      <c r="O4" s="527"/>
      <c r="P4" s="358" t="s">
        <v>428</v>
      </c>
      <c r="Q4" s="98" t="s">
        <v>940</v>
      </c>
      <c r="R4" s="98" t="s">
        <v>1299</v>
      </c>
      <c r="S4" s="98">
        <v>7</v>
      </c>
      <c r="T4" s="564">
        <v>4</v>
      </c>
      <c r="U4" s="98"/>
      <c r="V4" s="98"/>
      <c r="W4" s="98"/>
      <c r="X4" s="98"/>
    </row>
    <row r="5" spans="1:24" ht="26">
      <c r="A5" s="98" t="s">
        <v>923</v>
      </c>
      <c r="B5" s="98" t="s">
        <v>1302</v>
      </c>
      <c r="C5" s="584" t="s">
        <v>992</v>
      </c>
      <c r="D5" s="584" t="s">
        <v>428</v>
      </c>
      <c r="E5" s="98" t="s">
        <v>1301</v>
      </c>
      <c r="F5" s="442" t="s">
        <v>1531</v>
      </c>
      <c r="G5" s="1176">
        <v>43696</v>
      </c>
      <c r="H5" s="1179"/>
      <c r="I5" s="584"/>
      <c r="J5" s="1156">
        <v>0.4</v>
      </c>
      <c r="K5" s="1195"/>
      <c r="L5" s="358"/>
      <c r="M5" s="584"/>
      <c r="N5" s="527"/>
      <c r="O5" s="527"/>
      <c r="P5" s="358" t="s">
        <v>428</v>
      </c>
      <c r="Q5" s="98" t="s">
        <v>923</v>
      </c>
      <c r="R5" s="98" t="s">
        <v>1302</v>
      </c>
      <c r="S5" s="98">
        <v>10</v>
      </c>
      <c r="T5" s="564">
        <v>10.9</v>
      </c>
      <c r="U5" s="98"/>
      <c r="V5" s="98"/>
      <c r="W5" s="98"/>
      <c r="X5" s="98"/>
    </row>
    <row r="6" spans="1:24">
      <c r="A6" s="98" t="s">
        <v>1258</v>
      </c>
      <c r="B6" s="98" t="s">
        <v>1303</v>
      </c>
      <c r="C6" s="584" t="s">
        <v>992</v>
      </c>
      <c r="D6" s="584" t="s">
        <v>428</v>
      </c>
      <c r="E6" s="98" t="s">
        <v>1301</v>
      </c>
      <c r="F6" s="442" t="s">
        <v>1531</v>
      </c>
      <c r="G6" s="1176">
        <v>43696</v>
      </c>
      <c r="H6" s="1179"/>
      <c r="I6" s="584"/>
      <c r="J6" s="1156">
        <v>0.4</v>
      </c>
      <c r="K6" s="1195"/>
      <c r="L6" s="358"/>
      <c r="M6" s="584"/>
      <c r="N6" s="527"/>
      <c r="O6" s="527"/>
      <c r="P6" s="358" t="s">
        <v>428</v>
      </c>
      <c r="Q6" s="98" t="s">
        <v>1258</v>
      </c>
      <c r="R6" s="98" t="s">
        <v>1303</v>
      </c>
      <c r="S6" s="98">
        <v>7</v>
      </c>
      <c r="T6" s="564">
        <v>6.8</v>
      </c>
      <c r="U6" s="98"/>
      <c r="V6" s="98"/>
      <c r="W6" s="98"/>
      <c r="X6" s="98"/>
    </row>
    <row r="7" spans="1:24" ht="26">
      <c r="A7" s="98">
        <v>12</v>
      </c>
      <c r="B7" s="98" t="s">
        <v>1304</v>
      </c>
      <c r="C7" s="584" t="s">
        <v>992</v>
      </c>
      <c r="D7" s="584" t="s">
        <v>428</v>
      </c>
      <c r="E7" s="98" t="s">
        <v>1301</v>
      </c>
      <c r="F7" s="442" t="s">
        <v>1531</v>
      </c>
      <c r="G7" s="1176">
        <v>43696</v>
      </c>
      <c r="H7" s="1179"/>
      <c r="I7" s="584"/>
      <c r="J7" s="1156">
        <v>0.6</v>
      </c>
      <c r="K7" s="1195"/>
      <c r="L7" s="358"/>
      <c r="M7" s="584"/>
      <c r="N7" s="527"/>
      <c r="O7" s="527"/>
      <c r="P7" s="358" t="s">
        <v>428</v>
      </c>
      <c r="Q7" s="98">
        <v>12</v>
      </c>
      <c r="R7" s="98" t="s">
        <v>1304</v>
      </c>
      <c r="S7" s="98">
        <v>11</v>
      </c>
      <c r="T7" s="564">
        <v>6.8</v>
      </c>
      <c r="U7" s="98"/>
      <c r="V7" s="98"/>
      <c r="W7" s="98"/>
      <c r="X7" s="98"/>
    </row>
    <row r="8" spans="1:24">
      <c r="A8" s="98">
        <v>9</v>
      </c>
      <c r="B8" s="98" t="s">
        <v>1305</v>
      </c>
      <c r="C8" s="584" t="s">
        <v>992</v>
      </c>
      <c r="D8" s="584" t="s">
        <v>428</v>
      </c>
      <c r="E8" s="98" t="s">
        <v>1301</v>
      </c>
      <c r="F8" s="442" t="s">
        <v>1531</v>
      </c>
      <c r="G8" s="1176">
        <v>43696</v>
      </c>
      <c r="H8" s="1179"/>
      <c r="I8" s="584"/>
      <c r="J8" s="1156">
        <v>0.45</v>
      </c>
      <c r="K8" s="1195"/>
      <c r="L8" s="358"/>
      <c r="M8" s="584"/>
      <c r="N8" s="527"/>
      <c r="O8" s="527"/>
      <c r="P8" s="358" t="s">
        <v>428</v>
      </c>
      <c r="Q8" s="98">
        <v>9</v>
      </c>
      <c r="R8" s="98" t="s">
        <v>1305</v>
      </c>
      <c r="S8" s="98">
        <v>5.5</v>
      </c>
      <c r="T8" s="564">
        <v>7.7</v>
      </c>
      <c r="U8" s="98"/>
      <c r="V8" s="98"/>
      <c r="W8" s="98"/>
      <c r="X8" s="98"/>
    </row>
    <row r="9" spans="1:24" ht="26">
      <c r="A9" s="98" t="s">
        <v>1306</v>
      </c>
      <c r="B9" s="98" t="s">
        <v>1307</v>
      </c>
      <c r="C9" s="584" t="s">
        <v>992</v>
      </c>
      <c r="D9" s="584" t="s">
        <v>428</v>
      </c>
      <c r="E9" s="98" t="s">
        <v>1301</v>
      </c>
      <c r="F9" s="442" t="s">
        <v>1531</v>
      </c>
      <c r="G9" s="1176">
        <v>43696</v>
      </c>
      <c r="H9" s="1179"/>
      <c r="I9" s="584"/>
      <c r="J9" s="1156">
        <v>0.3</v>
      </c>
      <c r="K9" s="1195"/>
      <c r="L9" s="358"/>
      <c r="M9" s="584"/>
      <c r="N9" s="527"/>
      <c r="O9" s="527"/>
      <c r="P9" s="358" t="s">
        <v>425</v>
      </c>
      <c r="Q9" s="98" t="s">
        <v>1306</v>
      </c>
      <c r="R9" s="98" t="s">
        <v>1307</v>
      </c>
      <c r="S9" s="98">
        <v>10</v>
      </c>
      <c r="T9" s="564">
        <v>6.5</v>
      </c>
      <c r="U9" s="98"/>
      <c r="V9" s="98"/>
      <c r="W9" s="98"/>
      <c r="X9" s="98"/>
    </row>
    <row r="10" spans="1:24">
      <c r="A10" s="98">
        <v>5</v>
      </c>
      <c r="B10" s="98" t="s">
        <v>1308</v>
      </c>
      <c r="C10" s="584" t="s">
        <v>992</v>
      </c>
      <c r="D10" s="584" t="s">
        <v>428</v>
      </c>
      <c r="E10" s="98" t="s">
        <v>1301</v>
      </c>
      <c r="F10" s="442" t="s">
        <v>1531</v>
      </c>
      <c r="G10" s="1176">
        <v>43696</v>
      </c>
      <c r="H10" s="1179"/>
      <c r="I10" s="584"/>
      <c r="J10" s="1156">
        <v>0.6</v>
      </c>
      <c r="K10" s="1195"/>
      <c r="L10" s="358"/>
      <c r="M10" s="584"/>
      <c r="N10" s="527"/>
      <c r="O10" s="527"/>
      <c r="P10" s="358" t="s">
        <v>428</v>
      </c>
      <c r="Q10" s="98">
        <v>5</v>
      </c>
      <c r="R10" s="98" t="s">
        <v>1308</v>
      </c>
      <c r="S10" s="98">
        <v>20</v>
      </c>
      <c r="T10" s="564">
        <v>7</v>
      </c>
      <c r="U10" s="98"/>
      <c r="V10" s="98"/>
      <c r="W10" s="98"/>
      <c r="X10" s="98"/>
    </row>
    <row r="11" spans="1:24" ht="26">
      <c r="A11" s="98" t="s">
        <v>1255</v>
      </c>
      <c r="B11" s="98" t="s">
        <v>1309</v>
      </c>
      <c r="C11" s="584" t="s">
        <v>1310</v>
      </c>
      <c r="D11" s="584" t="s">
        <v>428</v>
      </c>
      <c r="E11" s="98" t="s">
        <v>1301</v>
      </c>
      <c r="F11" s="442" t="s">
        <v>1531</v>
      </c>
      <c r="G11" s="1176">
        <v>43696</v>
      </c>
      <c r="H11" s="1179"/>
      <c r="I11" s="584"/>
      <c r="J11" s="1156">
        <v>0.5</v>
      </c>
      <c r="K11" s="1195"/>
      <c r="L11" s="358"/>
      <c r="M11" s="584"/>
      <c r="N11" s="527"/>
      <c r="O11" s="527"/>
      <c r="P11" s="358" t="s">
        <v>428</v>
      </c>
      <c r="Q11" s="98" t="s">
        <v>1255</v>
      </c>
      <c r="R11" s="98" t="s">
        <v>1309</v>
      </c>
      <c r="S11" s="98">
        <v>12</v>
      </c>
      <c r="T11" s="564">
        <v>7.8</v>
      </c>
      <c r="U11" s="98"/>
      <c r="V11" s="98"/>
      <c r="W11" s="98"/>
      <c r="X11" s="98"/>
    </row>
    <row r="12" spans="1:24" ht="26">
      <c r="A12" s="98" t="s">
        <v>1254</v>
      </c>
      <c r="B12" s="98" t="s">
        <v>1311</v>
      </c>
      <c r="C12" s="584" t="s">
        <v>1310</v>
      </c>
      <c r="D12" s="584" t="s">
        <v>428</v>
      </c>
      <c r="E12" s="98" t="s">
        <v>1301</v>
      </c>
      <c r="F12" s="442" t="s">
        <v>1531</v>
      </c>
      <c r="G12" s="1176">
        <v>43696</v>
      </c>
      <c r="H12" s="1179"/>
      <c r="I12" s="584"/>
      <c r="J12" s="1156">
        <v>0.35</v>
      </c>
      <c r="K12" s="1195"/>
      <c r="L12" s="358"/>
      <c r="M12" s="584"/>
      <c r="N12" s="527"/>
      <c r="O12" s="527"/>
      <c r="P12" s="358" t="s">
        <v>425</v>
      </c>
      <c r="Q12" s="98" t="s">
        <v>1254</v>
      </c>
      <c r="R12" s="98" t="s">
        <v>1311</v>
      </c>
      <c r="S12" s="98">
        <v>12</v>
      </c>
      <c r="T12" s="564">
        <v>6.4</v>
      </c>
      <c r="U12" s="98"/>
      <c r="V12" s="98"/>
      <c r="W12" s="98"/>
      <c r="X12" s="98"/>
    </row>
    <row r="13" spans="1:24">
      <c r="A13" s="98">
        <v>58</v>
      </c>
      <c r="B13" s="166" t="s">
        <v>1312</v>
      </c>
      <c r="C13" s="584" t="s">
        <v>1310</v>
      </c>
      <c r="D13" s="584" t="s">
        <v>428</v>
      </c>
      <c r="E13" s="98" t="s">
        <v>1301</v>
      </c>
      <c r="F13" s="442" t="s">
        <v>1531</v>
      </c>
      <c r="G13" s="1176">
        <v>43696</v>
      </c>
      <c r="H13" s="1179"/>
      <c r="I13" s="584"/>
      <c r="J13" s="1156">
        <v>0.55000000000000004</v>
      </c>
      <c r="K13" s="1195"/>
      <c r="L13" s="358"/>
      <c r="M13" s="584"/>
      <c r="N13" s="527"/>
      <c r="O13" s="527"/>
      <c r="P13" s="358" t="s">
        <v>425</v>
      </c>
      <c r="Q13" s="98">
        <v>58</v>
      </c>
      <c r="R13" s="166" t="s">
        <v>1312</v>
      </c>
      <c r="S13" s="98">
        <v>12</v>
      </c>
      <c r="T13" s="564">
        <v>6.5</v>
      </c>
      <c r="U13" s="98"/>
      <c r="V13" s="98"/>
      <c r="W13" s="98"/>
      <c r="X13" s="98"/>
    </row>
    <row r="14" spans="1:24">
      <c r="A14" s="98">
        <v>90</v>
      </c>
      <c r="B14" s="166" t="s">
        <v>1313</v>
      </c>
      <c r="C14" s="584" t="s">
        <v>1314</v>
      </c>
      <c r="D14" s="584" t="s">
        <v>428</v>
      </c>
      <c r="E14" s="98" t="s">
        <v>1301</v>
      </c>
      <c r="F14" s="442" t="s">
        <v>1531</v>
      </c>
      <c r="G14" s="1176">
        <v>43696</v>
      </c>
      <c r="H14" s="1180"/>
      <c r="I14" s="584"/>
      <c r="J14" s="1156">
        <v>0.65</v>
      </c>
      <c r="K14" s="1195"/>
      <c r="L14" s="358"/>
      <c r="M14" s="584"/>
      <c r="N14" s="527"/>
      <c r="O14" s="527"/>
      <c r="P14" s="358" t="s">
        <v>428</v>
      </c>
      <c r="Q14" s="98">
        <v>90</v>
      </c>
      <c r="R14" s="166" t="s">
        <v>1313</v>
      </c>
      <c r="S14" s="98">
        <v>20</v>
      </c>
      <c r="T14" s="564">
        <v>9.6</v>
      </c>
      <c r="U14" s="98"/>
      <c r="V14" s="98"/>
      <c r="W14" s="98"/>
      <c r="X14" s="98"/>
    </row>
    <row r="15" spans="1:24">
      <c r="A15" s="1181" t="s">
        <v>255</v>
      </c>
      <c r="B15" s="1181" t="s">
        <v>1315</v>
      </c>
      <c r="C15" s="1181"/>
      <c r="D15" s="1181" t="s">
        <v>1316</v>
      </c>
      <c r="E15" s="1182"/>
      <c r="F15" s="1181" t="s">
        <v>888</v>
      </c>
      <c r="G15" s="1183"/>
      <c r="H15" s="1181" t="s">
        <v>899</v>
      </c>
      <c r="I15" s="1194"/>
      <c r="J15" s="98"/>
      <c r="K15" s="98"/>
      <c r="L15" s="98"/>
      <c r="M15" s="98"/>
      <c r="N15" s="91"/>
      <c r="O15" s="91"/>
      <c r="Q15" s="91"/>
      <c r="R15" s="91"/>
      <c r="S15" s="91"/>
      <c r="T15" s="91"/>
      <c r="U15" s="91"/>
      <c r="V15" s="91"/>
      <c r="W15" s="91"/>
      <c r="X15" s="91"/>
    </row>
    <row r="16" spans="1:24">
      <c r="Q16" s="479" t="s">
        <v>470</v>
      </c>
      <c r="R16" s="1187">
        <v>13.4</v>
      </c>
      <c r="S16" s="1188" t="s">
        <v>883</v>
      </c>
      <c r="T16" s="1187">
        <v>12.6</v>
      </c>
      <c r="U16" s="1188" t="s">
        <v>891</v>
      </c>
      <c r="V16" s="90"/>
      <c r="W16" s="91"/>
      <c r="X16" s="91"/>
    </row>
    <row r="17" spans="1:24">
      <c r="A17" s="2631" t="s">
        <v>1317</v>
      </c>
      <c r="B17" s="2632"/>
      <c r="C17" s="2633" t="s">
        <v>1318</v>
      </c>
      <c r="D17" s="2634"/>
      <c r="E17" s="2377" t="s">
        <v>1319</v>
      </c>
      <c r="F17" s="2379"/>
      <c r="G17" s="2377" t="s">
        <v>1320</v>
      </c>
      <c r="H17" s="2378"/>
      <c r="Q17" s="479" t="s">
        <v>471</v>
      </c>
      <c r="R17" s="1187">
        <v>28.4</v>
      </c>
      <c r="S17" s="1189" t="s">
        <v>727</v>
      </c>
      <c r="T17" s="1190">
        <v>1</v>
      </c>
      <c r="U17" s="1188" t="s">
        <v>892</v>
      </c>
      <c r="V17" s="90"/>
      <c r="W17" s="91"/>
      <c r="X17" s="91"/>
    </row>
    <row r="18" spans="1:24">
      <c r="A18" s="111" t="s">
        <v>138</v>
      </c>
      <c r="B18" s="287"/>
      <c r="C18" s="111" t="s">
        <v>138</v>
      </c>
      <c r="D18" s="287"/>
      <c r="E18" s="111" t="s">
        <v>138</v>
      </c>
      <c r="F18" s="287"/>
      <c r="G18" s="111" t="s">
        <v>138</v>
      </c>
      <c r="H18" s="287"/>
      <c r="Q18" s="479" t="s">
        <v>458</v>
      </c>
      <c r="R18" s="1187">
        <v>26</v>
      </c>
      <c r="S18" s="1191" t="s">
        <v>731</v>
      </c>
      <c r="T18" s="236">
        <v>47</v>
      </c>
      <c r="U18" s="1188" t="s">
        <v>893</v>
      </c>
      <c r="V18" s="90"/>
      <c r="W18" s="91"/>
      <c r="X18" s="91"/>
    </row>
    <row r="19" spans="1:24">
      <c r="A19" s="111" t="s">
        <v>137</v>
      </c>
      <c r="B19" s="564"/>
      <c r="C19" s="111" t="s">
        <v>137</v>
      </c>
      <c r="D19" s="564"/>
      <c r="E19" s="111" t="s">
        <v>137</v>
      </c>
      <c r="F19" s="564"/>
      <c r="G19" s="111" t="s">
        <v>137</v>
      </c>
      <c r="H19" s="564"/>
      <c r="Q19" s="479" t="s">
        <v>755</v>
      </c>
      <c r="R19" s="1187">
        <v>10.5</v>
      </c>
      <c r="S19" s="1189" t="s">
        <v>726</v>
      </c>
      <c r="T19" s="90">
        <v>21</v>
      </c>
      <c r="U19" s="1188" t="s">
        <v>894</v>
      </c>
      <c r="V19" s="90"/>
      <c r="W19" s="91"/>
      <c r="X19" s="91"/>
    </row>
    <row r="20" spans="1:24">
      <c r="A20" s="111" t="s">
        <v>136</v>
      </c>
      <c r="B20" s="287"/>
      <c r="C20" s="111" t="s">
        <v>136</v>
      </c>
      <c r="D20" s="287"/>
      <c r="E20" s="111" t="s">
        <v>136</v>
      </c>
      <c r="F20" s="287"/>
      <c r="G20" s="111" t="s">
        <v>136</v>
      </c>
      <c r="H20" s="287"/>
      <c r="Q20" s="479" t="s">
        <v>472</v>
      </c>
      <c r="R20" s="1187">
        <v>16.899999999999999</v>
      </c>
      <c r="S20" s="1177" t="s">
        <v>1287</v>
      </c>
      <c r="T20" s="1192">
        <v>0.52</v>
      </c>
      <c r="U20" s="1193" t="s">
        <v>1326</v>
      </c>
      <c r="V20" s="1192"/>
      <c r="W20" s="91"/>
      <c r="X20" s="91"/>
    </row>
    <row r="21" spans="1:24">
      <c r="A21" s="111" t="s">
        <v>135</v>
      </c>
      <c r="B21" s="564"/>
      <c r="C21" s="1184" t="s">
        <v>135</v>
      </c>
      <c r="D21" s="564"/>
      <c r="E21" s="1184" t="s">
        <v>135</v>
      </c>
      <c r="F21" s="564"/>
      <c r="G21" s="1184" t="s">
        <v>135</v>
      </c>
      <c r="H21" s="564"/>
      <c r="Q21" s="479" t="s">
        <v>1286</v>
      </c>
      <c r="R21" s="90">
        <v>1856</v>
      </c>
      <c r="S21" s="1188" t="s">
        <v>848</v>
      </c>
      <c r="T21" s="90"/>
      <c r="U21" s="90"/>
      <c r="V21" s="90"/>
      <c r="W21" s="91"/>
      <c r="X21" s="91"/>
    </row>
    <row r="22" spans="1:24">
      <c r="A22" s="2377" t="s">
        <v>1321</v>
      </c>
      <c r="B22" s="2379"/>
      <c r="C22" s="2377" t="s">
        <v>1322</v>
      </c>
      <c r="D22" s="2379"/>
      <c r="E22" s="2377" t="s">
        <v>1323</v>
      </c>
      <c r="F22" s="2379"/>
      <c r="G22" s="2377" t="s">
        <v>1324</v>
      </c>
      <c r="H22" s="2378"/>
    </row>
    <row r="23" spans="1:24">
      <c r="A23" s="111" t="s">
        <v>138</v>
      </c>
      <c r="B23" s="287"/>
      <c r="C23" s="111" t="s">
        <v>138</v>
      </c>
      <c r="D23" s="287"/>
      <c r="E23" s="111" t="s">
        <v>138</v>
      </c>
      <c r="F23" s="287"/>
      <c r="G23" s="111" t="s">
        <v>138</v>
      </c>
      <c r="H23" s="287"/>
    </row>
    <row r="24" spans="1:24">
      <c r="A24" s="111" t="s">
        <v>137</v>
      </c>
      <c r="B24" s="564"/>
      <c r="C24" s="111" t="s">
        <v>137</v>
      </c>
      <c r="D24" s="564"/>
      <c r="E24" s="1184" t="s">
        <v>137</v>
      </c>
      <c r="F24" s="564"/>
      <c r="G24" s="1184" t="s">
        <v>137</v>
      </c>
      <c r="H24" s="564"/>
    </row>
    <row r="25" spans="1:24">
      <c r="A25" s="111" t="s">
        <v>136</v>
      </c>
      <c r="B25" s="287"/>
      <c r="C25" s="111" t="s">
        <v>136</v>
      </c>
      <c r="D25" s="287"/>
      <c r="E25" s="111" t="s">
        <v>136</v>
      </c>
      <c r="F25" s="287"/>
      <c r="G25" s="111" t="s">
        <v>136</v>
      </c>
      <c r="H25" s="287"/>
    </row>
    <row r="26" spans="1:24">
      <c r="A26" s="111" t="s">
        <v>135</v>
      </c>
      <c r="B26" s="564"/>
      <c r="C26" s="1184" t="s">
        <v>135</v>
      </c>
      <c r="D26" s="564"/>
      <c r="E26" s="1184" t="s">
        <v>135</v>
      </c>
      <c r="F26" s="564"/>
      <c r="G26" s="1184" t="s">
        <v>135</v>
      </c>
      <c r="H26" s="564"/>
    </row>
    <row r="27" spans="1:24">
      <c r="A27" s="2377" t="s">
        <v>1005</v>
      </c>
      <c r="B27" s="2379"/>
      <c r="C27" s="2377" t="s">
        <v>1006</v>
      </c>
      <c r="D27" s="2378"/>
      <c r="E27" s="2390" t="s">
        <v>1325</v>
      </c>
      <c r="F27" s="2392"/>
      <c r="G27" s="98"/>
      <c r="H27" s="98"/>
    </row>
    <row r="28" spans="1:24">
      <c r="A28" s="111" t="s">
        <v>138</v>
      </c>
      <c r="B28" s="287"/>
      <c r="C28" s="111" t="s">
        <v>138</v>
      </c>
      <c r="D28" s="1185"/>
      <c r="E28" s="111" t="s">
        <v>138</v>
      </c>
      <c r="F28" s="287"/>
      <c r="G28" s="98"/>
      <c r="H28" s="98"/>
    </row>
    <row r="29" spans="1:24">
      <c r="A29" s="111" t="s">
        <v>137</v>
      </c>
      <c r="B29" s="564"/>
      <c r="C29" s="1184" t="s">
        <v>137</v>
      </c>
      <c r="D29" s="1186"/>
      <c r="E29" s="111" t="s">
        <v>137</v>
      </c>
      <c r="F29" s="564"/>
      <c r="G29" s="98"/>
      <c r="H29" s="98"/>
    </row>
    <row r="30" spans="1:24">
      <c r="A30" s="111" t="s">
        <v>136</v>
      </c>
      <c r="B30" s="287"/>
      <c r="C30" s="111" t="s">
        <v>136</v>
      </c>
      <c r="D30" s="1185"/>
      <c r="E30" s="111" t="s">
        <v>136</v>
      </c>
      <c r="F30" s="287"/>
      <c r="G30" s="98"/>
      <c r="H30" s="98"/>
    </row>
    <row r="31" spans="1:24">
      <c r="A31" s="111" t="s">
        <v>135</v>
      </c>
      <c r="B31" s="564"/>
      <c r="C31" s="1184" t="s">
        <v>135</v>
      </c>
      <c r="D31" s="1186"/>
      <c r="E31" s="1184" t="s">
        <v>135</v>
      </c>
      <c r="F31" s="564"/>
      <c r="G31" s="98"/>
      <c r="H31" s="98"/>
    </row>
  </sheetData>
  <mergeCells count="12">
    <mergeCell ref="A27:B27"/>
    <mergeCell ref="C27:D27"/>
    <mergeCell ref="E27:F27"/>
    <mergeCell ref="A2:M2"/>
    <mergeCell ref="A17:B17"/>
    <mergeCell ref="C17:D17"/>
    <mergeCell ref="E17:F17"/>
    <mergeCell ref="G17:H17"/>
    <mergeCell ref="A22:B22"/>
    <mergeCell ref="C22:D22"/>
    <mergeCell ref="E22:F22"/>
    <mergeCell ref="G22:H22"/>
  </mergeCells>
  <pageMargins left="0.7" right="0.7" top="0.75" bottom="0.75" header="0.3" footer="0.3"/>
  <pageSetup orientation="landscape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CA983-F046-47B6-A955-732A32E3B2F7}">
  <sheetPr>
    <tabColor rgb="FF92D050"/>
  </sheetPr>
  <dimension ref="A1:AB72"/>
  <sheetViews>
    <sheetView topLeftCell="A34" workbookViewId="0">
      <selection activeCell="AC34" sqref="AC34"/>
    </sheetView>
  </sheetViews>
  <sheetFormatPr defaultRowHeight="14"/>
  <cols>
    <col min="1" max="1" width="18.453125" style="91" customWidth="1"/>
    <col min="2" max="2" width="8.90625" bestFit="1" customWidth="1"/>
    <col min="3" max="3" width="10.6328125" bestFit="1" customWidth="1"/>
    <col min="4" max="4" width="9" bestFit="1" customWidth="1"/>
    <col min="5" max="5" width="9.90625" bestFit="1" customWidth="1"/>
    <col min="6" max="7" width="9" bestFit="1" customWidth="1"/>
    <col min="8" max="8" width="8.90625" bestFit="1" customWidth="1"/>
    <col min="9" max="9" width="9" bestFit="1" customWidth="1"/>
    <col min="10" max="10" width="8.90625" bestFit="1" customWidth="1"/>
    <col min="11" max="13" width="9" bestFit="1" customWidth="1"/>
    <col min="14" max="14" width="10" bestFit="1" customWidth="1"/>
    <col min="15" max="15" width="9.90625" bestFit="1" customWidth="1"/>
    <col min="16" max="16" width="10" bestFit="1" customWidth="1"/>
    <col min="22" max="22" width="8.90625" bestFit="1" customWidth="1"/>
  </cols>
  <sheetData>
    <row r="1" spans="1:28">
      <c r="A1" s="91" t="s">
        <v>187</v>
      </c>
      <c r="B1" s="2276" t="s">
        <v>1391</v>
      </c>
      <c r="C1" s="2276"/>
      <c r="D1" s="2276"/>
      <c r="E1" s="2276"/>
      <c r="F1" s="2276"/>
      <c r="G1" s="2276"/>
      <c r="H1" s="2276"/>
      <c r="I1" s="2276"/>
      <c r="J1" s="2276"/>
      <c r="K1" s="2276"/>
      <c r="L1" s="2276"/>
      <c r="M1" s="2276"/>
      <c r="N1" s="2276"/>
      <c r="O1" s="2276"/>
      <c r="P1" s="2276"/>
      <c r="T1" s="2276" t="s">
        <v>1519</v>
      </c>
      <c r="U1" s="2276"/>
      <c r="V1" s="45">
        <v>43626</v>
      </c>
    </row>
    <row r="2" spans="1:28">
      <c r="B2" s="45">
        <v>43108</v>
      </c>
      <c r="C2" s="45">
        <v>43143</v>
      </c>
      <c r="D2" s="45">
        <v>43178</v>
      </c>
      <c r="E2" s="45">
        <v>43199</v>
      </c>
      <c r="F2" s="45">
        <v>43234</v>
      </c>
      <c r="G2" s="45">
        <v>43262</v>
      </c>
      <c r="H2" s="45">
        <v>43290</v>
      </c>
      <c r="I2" s="45">
        <v>43297</v>
      </c>
      <c r="J2" s="45">
        <v>43319</v>
      </c>
      <c r="K2" s="45">
        <v>43325</v>
      </c>
      <c r="L2" s="45">
        <v>43353</v>
      </c>
      <c r="M2" s="45">
        <v>43369</v>
      </c>
      <c r="N2" s="45">
        <v>43388</v>
      </c>
      <c r="O2" s="45">
        <v>43409</v>
      </c>
      <c r="P2" s="45">
        <v>43444</v>
      </c>
      <c r="S2" t="s">
        <v>1521</v>
      </c>
      <c r="T2" t="s">
        <v>1520</v>
      </c>
      <c r="U2" t="s">
        <v>1522</v>
      </c>
      <c r="V2" t="s">
        <v>1523</v>
      </c>
      <c r="W2" t="s">
        <v>1524</v>
      </c>
      <c r="X2" t="s">
        <v>1525</v>
      </c>
      <c r="Y2" t="s">
        <v>1522</v>
      </c>
      <c r="Z2" t="s">
        <v>1523</v>
      </c>
      <c r="AA2" t="s">
        <v>1524</v>
      </c>
      <c r="AB2" t="s">
        <v>1525</v>
      </c>
    </row>
    <row r="3" spans="1:28">
      <c r="A3" s="91" t="s">
        <v>197</v>
      </c>
      <c r="B3" s="239">
        <v>10.15</v>
      </c>
      <c r="C3" s="239">
        <v>10.35</v>
      </c>
      <c r="D3" s="239">
        <v>10.25</v>
      </c>
      <c r="E3" s="239">
        <v>10.199999999999999</v>
      </c>
      <c r="F3" s="239">
        <v>10.3</v>
      </c>
      <c r="G3" s="239">
        <v>10</v>
      </c>
      <c r="H3" s="239">
        <v>10</v>
      </c>
      <c r="I3" s="239">
        <v>10</v>
      </c>
      <c r="J3" s="239">
        <v>10</v>
      </c>
      <c r="K3" s="239">
        <v>9.8000000000000007</v>
      </c>
      <c r="L3" s="239">
        <v>10</v>
      </c>
      <c r="M3" s="239">
        <v>9.1999999999999993</v>
      </c>
      <c r="N3" s="239">
        <v>9.3000000000000007</v>
      </c>
      <c r="O3" s="239">
        <v>9</v>
      </c>
      <c r="P3" s="239">
        <v>4</v>
      </c>
      <c r="T3" t="s">
        <v>136</v>
      </c>
      <c r="U3" t="s">
        <v>136</v>
      </c>
      <c r="V3" t="s">
        <v>136</v>
      </c>
      <c r="W3" t="s">
        <v>136</v>
      </c>
      <c r="X3" t="s">
        <v>136</v>
      </c>
      <c r="Y3" t="s">
        <v>136</v>
      </c>
      <c r="Z3" t="s">
        <v>136</v>
      </c>
      <c r="AA3" t="s">
        <v>136</v>
      </c>
      <c r="AB3" t="s">
        <v>136</v>
      </c>
    </row>
    <row r="4" spans="1:28">
      <c r="A4" s="91" t="s">
        <v>243</v>
      </c>
      <c r="B4" s="239">
        <v>12.85</v>
      </c>
      <c r="C4" s="239">
        <v>12.38</v>
      </c>
      <c r="D4" s="239">
        <v>9.4600000000000009</v>
      </c>
      <c r="E4" s="239">
        <v>10.25</v>
      </c>
      <c r="F4" s="239">
        <v>6.93</v>
      </c>
      <c r="G4" s="239">
        <v>6.73</v>
      </c>
      <c r="H4" s="239">
        <v>6.37</v>
      </c>
      <c r="I4" s="239">
        <v>7.04</v>
      </c>
      <c r="J4" s="239">
        <v>8.0399999999999991</v>
      </c>
      <c r="K4" s="239">
        <v>8</v>
      </c>
      <c r="L4" s="239">
        <v>7.51</v>
      </c>
      <c r="M4" s="239">
        <v>7.56</v>
      </c>
      <c r="N4" s="239">
        <v>8.5</v>
      </c>
      <c r="O4" s="239">
        <v>8.68</v>
      </c>
      <c r="P4" s="239">
        <v>12.4</v>
      </c>
      <c r="S4" s="356">
        <v>0.5</v>
      </c>
      <c r="T4" s="239">
        <v>9.68</v>
      </c>
      <c r="U4" s="239">
        <v>8.81</v>
      </c>
      <c r="V4" s="239">
        <v>9.69</v>
      </c>
      <c r="W4" s="239">
        <v>9.43</v>
      </c>
      <c r="X4" s="239">
        <v>8.68</v>
      </c>
      <c r="Y4" s="239">
        <f>T4-U4</f>
        <v>0.86999999999999922</v>
      </c>
      <c r="Z4" s="239">
        <f>T4-V4</f>
        <v>-9.9999999999997868E-3</v>
      </c>
      <c r="AA4" s="239">
        <f>T4-W4</f>
        <v>0.25</v>
      </c>
      <c r="AB4" s="239">
        <f>T4-X4</f>
        <v>1</v>
      </c>
    </row>
    <row r="5" spans="1:28">
      <c r="A5" s="91" t="s">
        <v>196</v>
      </c>
      <c r="B5" s="239">
        <v>11.48</v>
      </c>
      <c r="C5" s="239">
        <v>9.1199999999999992</v>
      </c>
      <c r="D5" s="239">
        <v>8.94</v>
      </c>
      <c r="E5" s="239">
        <v>7.79</v>
      </c>
      <c r="F5" s="239">
        <v>5.84</v>
      </c>
      <c r="G5" s="239">
        <v>5.31</v>
      </c>
      <c r="H5" s="239">
        <v>5.31</v>
      </c>
      <c r="I5" s="239">
        <v>5.89</v>
      </c>
      <c r="J5" s="239">
        <v>6.54</v>
      </c>
      <c r="K5" s="239">
        <v>6.34</v>
      </c>
      <c r="L5" s="239">
        <v>6.15</v>
      </c>
      <c r="M5" s="239">
        <v>7.09</v>
      </c>
      <c r="N5" s="239">
        <v>8.14</v>
      </c>
      <c r="O5" s="239">
        <v>8.5299999999999994</v>
      </c>
      <c r="P5" s="239">
        <v>10.91</v>
      </c>
      <c r="S5" s="356">
        <v>1</v>
      </c>
      <c r="T5" s="239">
        <v>9.6199999999999992</v>
      </c>
      <c r="U5" s="239">
        <v>8.7100000000000009</v>
      </c>
      <c r="V5" s="239">
        <v>9.68</v>
      </c>
      <c r="W5" s="239">
        <v>9.5</v>
      </c>
      <c r="X5" s="239">
        <v>8.74</v>
      </c>
      <c r="Y5" s="239">
        <f t="shared" ref="Y5:Y18" si="0">T5-U5</f>
        <v>0.90999999999999837</v>
      </c>
      <c r="Z5" s="239">
        <f t="shared" ref="Z5:Z16" si="1">T5-V5</f>
        <v>-6.0000000000000497E-2</v>
      </c>
      <c r="AA5" s="239">
        <f t="shared" ref="AA5:AA13" si="2">T5-W5</f>
        <v>0.11999999999999922</v>
      </c>
      <c r="AB5" s="239">
        <f t="shared" ref="AB5:AB13" si="3">T5-X5</f>
        <v>0.87999999999999901</v>
      </c>
    </row>
    <row r="6" spans="1:28">
      <c r="A6" s="91" t="s">
        <v>971</v>
      </c>
      <c r="B6" s="239">
        <v>6</v>
      </c>
      <c r="C6" s="239">
        <v>6</v>
      </c>
      <c r="D6" s="239">
        <v>6</v>
      </c>
      <c r="E6" s="239">
        <v>6</v>
      </c>
      <c r="F6" s="239">
        <v>6</v>
      </c>
      <c r="G6" s="239">
        <v>6</v>
      </c>
      <c r="H6" s="239">
        <v>6</v>
      </c>
      <c r="I6" s="239">
        <v>6</v>
      </c>
      <c r="J6" s="239">
        <v>6</v>
      </c>
      <c r="K6" s="239">
        <v>6</v>
      </c>
      <c r="L6" s="239">
        <v>6</v>
      </c>
      <c r="M6" s="239">
        <v>6</v>
      </c>
      <c r="N6" s="239">
        <v>6</v>
      </c>
      <c r="O6" s="239">
        <v>6</v>
      </c>
      <c r="P6" s="239">
        <v>6</v>
      </c>
      <c r="S6" s="356">
        <v>1.5</v>
      </c>
      <c r="T6" s="239">
        <v>9.34</v>
      </c>
      <c r="U6" s="239">
        <v>8.93</v>
      </c>
      <c r="V6" s="239">
        <v>9.5</v>
      </c>
      <c r="W6" s="239">
        <v>9.51</v>
      </c>
      <c r="X6" s="239">
        <v>8.56</v>
      </c>
      <c r="Y6" s="239">
        <f t="shared" si="0"/>
        <v>0.41000000000000014</v>
      </c>
      <c r="Z6" s="239">
        <f t="shared" si="1"/>
        <v>-0.16000000000000014</v>
      </c>
      <c r="AA6" s="239">
        <f t="shared" si="2"/>
        <v>-0.16999999999999993</v>
      </c>
      <c r="AB6" s="239">
        <f t="shared" si="3"/>
        <v>0.77999999999999936</v>
      </c>
    </row>
    <row r="7" spans="1:28">
      <c r="A7" s="91" t="s">
        <v>1494</v>
      </c>
      <c r="G7" s="239">
        <v>1</v>
      </c>
      <c r="H7" s="239">
        <v>1</v>
      </c>
      <c r="I7" s="239">
        <v>1</v>
      </c>
      <c r="J7" s="239">
        <v>1</v>
      </c>
      <c r="K7" s="239">
        <v>1</v>
      </c>
      <c r="L7" s="239">
        <v>1</v>
      </c>
      <c r="M7" s="239">
        <v>1</v>
      </c>
      <c r="N7" s="239">
        <v>1</v>
      </c>
      <c r="S7" s="356">
        <v>2</v>
      </c>
      <c r="T7" s="239">
        <v>9.17</v>
      </c>
      <c r="U7" s="239">
        <v>9</v>
      </c>
      <c r="V7" s="239">
        <v>9.6300000000000008</v>
      </c>
      <c r="W7" s="239">
        <v>9.1199999999999992</v>
      </c>
      <c r="X7" s="239">
        <v>8.3800000000000008</v>
      </c>
      <c r="Y7" s="239">
        <f t="shared" si="0"/>
        <v>0.16999999999999993</v>
      </c>
      <c r="Z7" s="239">
        <f t="shared" si="1"/>
        <v>-0.46000000000000085</v>
      </c>
      <c r="AA7" s="239">
        <f t="shared" si="2"/>
        <v>5.0000000000000711E-2</v>
      </c>
      <c r="AB7" s="239">
        <f t="shared" si="3"/>
        <v>0.78999999999999915</v>
      </c>
    </row>
    <row r="8" spans="1:28">
      <c r="A8" s="91" t="s">
        <v>187</v>
      </c>
      <c r="B8" s="2276" t="s">
        <v>1490</v>
      </c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S8" s="356">
        <v>2.5</v>
      </c>
      <c r="T8" s="239">
        <v>9.07</v>
      </c>
      <c r="U8" s="239">
        <v>9.02</v>
      </c>
      <c r="V8" s="239">
        <v>9.39</v>
      </c>
      <c r="W8" s="239">
        <v>9.26</v>
      </c>
      <c r="X8" s="239">
        <v>8.2799999999999994</v>
      </c>
      <c r="Y8" s="239">
        <f t="shared" si="0"/>
        <v>5.0000000000000711E-2</v>
      </c>
      <c r="Z8" s="239">
        <f t="shared" si="1"/>
        <v>-0.32000000000000028</v>
      </c>
      <c r="AA8" s="239">
        <f t="shared" si="2"/>
        <v>-0.1899999999999995</v>
      </c>
      <c r="AB8" s="239">
        <f t="shared" si="3"/>
        <v>0.79000000000000092</v>
      </c>
    </row>
    <row r="9" spans="1:28">
      <c r="B9" s="45">
        <v>42744</v>
      </c>
      <c r="C9" s="45">
        <v>42779</v>
      </c>
      <c r="D9" s="45">
        <v>42814</v>
      </c>
      <c r="E9" s="45">
        <v>42842</v>
      </c>
      <c r="F9" s="45">
        <v>42877</v>
      </c>
      <c r="G9" s="45">
        <v>42912</v>
      </c>
      <c r="H9" s="45">
        <v>42926</v>
      </c>
      <c r="I9" s="45">
        <v>42933</v>
      </c>
      <c r="J9" s="45">
        <v>42955</v>
      </c>
      <c r="K9" s="45">
        <v>42961</v>
      </c>
      <c r="L9" s="45">
        <v>42989</v>
      </c>
      <c r="M9" s="45">
        <v>42996</v>
      </c>
      <c r="N9" s="45">
        <v>43024</v>
      </c>
      <c r="O9" s="45">
        <v>43052</v>
      </c>
      <c r="P9" s="45">
        <v>43080</v>
      </c>
      <c r="S9" s="356">
        <v>3</v>
      </c>
      <c r="T9" s="239">
        <v>9.0399999999999991</v>
      </c>
      <c r="U9" s="239">
        <v>9.07</v>
      </c>
      <c r="V9" s="239">
        <v>9.24</v>
      </c>
      <c r="W9" s="239">
        <v>9.17</v>
      </c>
      <c r="X9" s="239">
        <v>8.36</v>
      </c>
      <c r="Y9" s="239">
        <f t="shared" si="0"/>
        <v>-3.0000000000001137E-2</v>
      </c>
      <c r="Z9" s="239">
        <f t="shared" si="1"/>
        <v>-0.20000000000000107</v>
      </c>
      <c r="AA9" s="239">
        <f t="shared" si="2"/>
        <v>-0.13000000000000078</v>
      </c>
      <c r="AB9" s="239">
        <f t="shared" si="3"/>
        <v>0.67999999999999972</v>
      </c>
    </row>
    <row r="10" spans="1:28">
      <c r="A10" s="91" t="s">
        <v>197</v>
      </c>
      <c r="B10" s="239">
        <v>6.65</v>
      </c>
      <c r="C10" s="239">
        <v>3.5</v>
      </c>
      <c r="D10" s="239">
        <v>10.199999999999999</v>
      </c>
      <c r="E10" s="239">
        <v>10.31</v>
      </c>
      <c r="F10" s="239">
        <v>10.4</v>
      </c>
      <c r="G10" s="239">
        <v>10.4</v>
      </c>
      <c r="H10" s="239">
        <v>10.1</v>
      </c>
      <c r="I10" s="239">
        <v>10.1</v>
      </c>
      <c r="J10" s="239">
        <v>10.4</v>
      </c>
      <c r="K10" s="239">
        <v>10.3</v>
      </c>
      <c r="L10" s="239">
        <v>9.8000000000000007</v>
      </c>
      <c r="M10" s="239">
        <v>9.8000000000000007</v>
      </c>
      <c r="N10" s="239">
        <v>10.7</v>
      </c>
      <c r="O10" s="239">
        <v>10</v>
      </c>
      <c r="P10" s="239">
        <v>10.199999999999999</v>
      </c>
      <c r="S10" s="356">
        <v>3.5</v>
      </c>
      <c r="T10" s="239">
        <v>9.01</v>
      </c>
      <c r="U10" s="239">
        <v>8.75</v>
      </c>
      <c r="V10" s="239">
        <v>9.44</v>
      </c>
      <c r="W10" s="239">
        <v>8.89</v>
      </c>
      <c r="X10" s="239">
        <v>8.4600000000000009</v>
      </c>
      <c r="Y10" s="239">
        <f t="shared" si="0"/>
        <v>0.25999999999999979</v>
      </c>
      <c r="Z10" s="239">
        <f t="shared" si="1"/>
        <v>-0.42999999999999972</v>
      </c>
      <c r="AA10" s="239">
        <f t="shared" si="2"/>
        <v>0.11999999999999922</v>
      </c>
      <c r="AB10" s="239">
        <f t="shared" si="3"/>
        <v>0.54999999999999893</v>
      </c>
    </row>
    <row r="11" spans="1:28">
      <c r="A11" s="91" t="s">
        <v>243</v>
      </c>
      <c r="B11" s="239">
        <v>14.55</v>
      </c>
      <c r="C11" s="239">
        <v>12.88</v>
      </c>
      <c r="D11" s="239">
        <v>10.42</v>
      </c>
      <c r="E11" s="239">
        <v>11.73</v>
      </c>
      <c r="F11" s="239">
        <v>11.23</v>
      </c>
      <c r="G11" s="239">
        <v>7.4</v>
      </c>
      <c r="H11" s="239">
        <v>6.59</v>
      </c>
      <c r="I11" s="239">
        <v>6.45</v>
      </c>
      <c r="J11" s="239">
        <v>5.2125000000000004</v>
      </c>
      <c r="K11" s="239">
        <v>10.015000000000001</v>
      </c>
      <c r="L11" s="239">
        <v>8.3349999999999991</v>
      </c>
      <c r="M11" s="239">
        <v>8.6324999999999985</v>
      </c>
      <c r="N11" s="239">
        <v>8.2349999999999994</v>
      </c>
      <c r="O11" s="239">
        <v>10.362500000000001</v>
      </c>
      <c r="P11" s="239">
        <v>11.412499999999998</v>
      </c>
      <c r="S11" s="356">
        <v>4</v>
      </c>
      <c r="T11" s="239">
        <v>9.18</v>
      </c>
      <c r="U11" s="239">
        <v>9</v>
      </c>
      <c r="V11" s="239">
        <v>9.41</v>
      </c>
      <c r="W11" s="239">
        <v>8.8800000000000008</v>
      </c>
      <c r="X11" s="239">
        <v>8.27</v>
      </c>
      <c r="Y11" s="239">
        <f t="shared" si="0"/>
        <v>0.17999999999999972</v>
      </c>
      <c r="Z11" s="239">
        <f t="shared" si="1"/>
        <v>-0.23000000000000043</v>
      </c>
      <c r="AA11" s="239">
        <f t="shared" si="2"/>
        <v>0.29999999999999893</v>
      </c>
      <c r="AB11" s="239">
        <f t="shared" si="3"/>
        <v>0.91000000000000014</v>
      </c>
    </row>
    <row r="12" spans="1:28">
      <c r="A12" s="91" t="s">
        <v>196</v>
      </c>
      <c r="B12" s="239">
        <v>12.82</v>
      </c>
      <c r="C12" s="239">
        <v>12.74</v>
      </c>
      <c r="D12" s="239">
        <v>9.86</v>
      </c>
      <c r="E12" s="239">
        <v>10.55</v>
      </c>
      <c r="F12" s="239">
        <v>10.220000000000001</v>
      </c>
      <c r="G12" s="239">
        <v>4.5599999999999996</v>
      </c>
      <c r="H12" s="239">
        <v>5.76</v>
      </c>
      <c r="I12" s="239">
        <v>5.54</v>
      </c>
      <c r="J12" s="239">
        <v>5.1585714285714284</v>
      </c>
      <c r="K12" s="239">
        <v>8.3235714285714302</v>
      </c>
      <c r="L12" s="239">
        <v>7.1385714285714288</v>
      </c>
      <c r="M12" s="239">
        <v>7.968571428571428</v>
      </c>
      <c r="N12" s="239">
        <v>7.7514285714285718</v>
      </c>
      <c r="O12" s="239">
        <v>9.1785714285714288</v>
      </c>
      <c r="P12" s="239">
        <v>10.910714285714283</v>
      </c>
      <c r="S12" s="356">
        <v>5</v>
      </c>
      <c r="T12" s="239">
        <v>8.92</v>
      </c>
      <c r="U12" s="239">
        <v>9.1</v>
      </c>
      <c r="V12" s="239">
        <v>8.86</v>
      </c>
      <c r="W12" s="239">
        <v>8.1999999999999993</v>
      </c>
      <c r="X12" s="239">
        <v>8.2200000000000006</v>
      </c>
      <c r="Y12" s="239">
        <f t="shared" si="0"/>
        <v>-0.17999999999999972</v>
      </c>
      <c r="Z12" s="239">
        <f t="shared" si="1"/>
        <v>6.0000000000000497E-2</v>
      </c>
      <c r="AA12" s="239">
        <f t="shared" si="2"/>
        <v>0.72000000000000064</v>
      </c>
      <c r="AB12" s="239">
        <f t="shared" si="3"/>
        <v>0.69999999999999929</v>
      </c>
    </row>
    <row r="13" spans="1:28">
      <c r="A13" s="91" t="s">
        <v>971</v>
      </c>
      <c r="B13" s="239">
        <v>6</v>
      </c>
      <c r="C13" s="239">
        <v>6</v>
      </c>
      <c r="D13" s="239">
        <v>6</v>
      </c>
      <c r="E13" s="239">
        <v>6</v>
      </c>
      <c r="F13" s="239">
        <v>6</v>
      </c>
      <c r="G13" s="239">
        <v>6</v>
      </c>
      <c r="H13" s="239">
        <v>6</v>
      </c>
      <c r="I13" s="239">
        <v>6</v>
      </c>
      <c r="J13" s="239">
        <v>6</v>
      </c>
      <c r="K13" s="239">
        <v>6</v>
      </c>
      <c r="L13" s="239">
        <v>6</v>
      </c>
      <c r="M13" s="239">
        <v>6</v>
      </c>
      <c r="N13" s="239">
        <v>6</v>
      </c>
      <c r="O13" s="239">
        <v>6</v>
      </c>
      <c r="P13" s="239">
        <v>6</v>
      </c>
      <c r="S13" s="356">
        <v>6</v>
      </c>
      <c r="T13" s="239">
        <v>9</v>
      </c>
      <c r="U13" s="239">
        <v>9.1</v>
      </c>
      <c r="V13" s="239">
        <v>8.9</v>
      </c>
      <c r="W13" s="239">
        <v>8</v>
      </c>
      <c r="X13" s="239">
        <v>7.75</v>
      </c>
      <c r="Y13" s="239">
        <f t="shared" si="0"/>
        <v>-9.9999999999999645E-2</v>
      </c>
      <c r="Z13" s="239">
        <f t="shared" si="1"/>
        <v>9.9999999999999645E-2</v>
      </c>
      <c r="AA13" s="239">
        <f t="shared" si="2"/>
        <v>1</v>
      </c>
      <c r="AB13" s="239">
        <f t="shared" si="3"/>
        <v>1.25</v>
      </c>
    </row>
    <row r="14" spans="1:28">
      <c r="A14" s="91" t="s">
        <v>1494</v>
      </c>
      <c r="G14" s="239">
        <v>1</v>
      </c>
      <c r="H14" s="239">
        <v>1</v>
      </c>
      <c r="I14" s="239">
        <v>1</v>
      </c>
      <c r="J14" s="239">
        <v>1</v>
      </c>
      <c r="K14" s="239">
        <v>1</v>
      </c>
      <c r="L14" s="239">
        <v>1</v>
      </c>
      <c r="M14" s="239">
        <v>1</v>
      </c>
      <c r="S14" s="356">
        <v>7</v>
      </c>
      <c r="T14" s="239">
        <v>9.1</v>
      </c>
      <c r="U14" s="239">
        <v>8.08</v>
      </c>
      <c r="V14" s="239">
        <v>8.25</v>
      </c>
      <c r="Y14" s="239">
        <f t="shared" si="0"/>
        <v>1.0199999999999996</v>
      </c>
      <c r="Z14" s="239">
        <f t="shared" si="1"/>
        <v>0.84999999999999964</v>
      </c>
      <c r="AA14" s="239"/>
      <c r="AB14" s="239"/>
    </row>
    <row r="15" spans="1:28">
      <c r="S15" s="356">
        <v>8</v>
      </c>
      <c r="T15" s="239">
        <v>8.91</v>
      </c>
      <c r="U15" s="239">
        <v>8.3000000000000007</v>
      </c>
      <c r="V15" s="239">
        <v>9.9499999999999993</v>
      </c>
      <c r="Y15" s="239">
        <f t="shared" si="0"/>
        <v>0.60999999999999943</v>
      </c>
      <c r="Z15" s="239">
        <f t="shared" si="1"/>
        <v>-1.0399999999999991</v>
      </c>
      <c r="AA15" s="239"/>
      <c r="AB15" s="239"/>
    </row>
    <row r="16" spans="1:28">
      <c r="A16" s="91" t="s">
        <v>187</v>
      </c>
      <c r="B16" s="2276" t="s">
        <v>1491</v>
      </c>
      <c r="C16" s="2276"/>
      <c r="D16" s="2276"/>
      <c r="E16" s="2276"/>
      <c r="F16" s="2276"/>
      <c r="G16" s="2276"/>
      <c r="H16" s="2276"/>
      <c r="I16" s="2276"/>
      <c r="J16" s="2276"/>
      <c r="K16" s="2276"/>
      <c r="L16" s="2276"/>
      <c r="M16" s="2276"/>
      <c r="N16" s="2276"/>
      <c r="O16" s="2276"/>
      <c r="P16" s="2276"/>
      <c r="S16" s="356">
        <v>9</v>
      </c>
      <c r="T16" s="239">
        <v>7.96</v>
      </c>
      <c r="U16" s="239">
        <v>6.98</v>
      </c>
      <c r="V16" s="239">
        <v>6.51</v>
      </c>
      <c r="Y16" s="239">
        <f t="shared" si="0"/>
        <v>0.97999999999999954</v>
      </c>
      <c r="Z16" s="239">
        <f t="shared" si="1"/>
        <v>1.4500000000000002</v>
      </c>
      <c r="AA16" s="239"/>
      <c r="AB16" s="239"/>
    </row>
    <row r="17" spans="1:28">
      <c r="B17" s="45">
        <v>42374</v>
      </c>
      <c r="C17" s="45">
        <v>42422</v>
      </c>
      <c r="D17" s="45">
        <v>42436</v>
      </c>
      <c r="E17" s="45">
        <v>42485</v>
      </c>
      <c r="F17" s="45">
        <v>42513</v>
      </c>
      <c r="G17" s="45">
        <v>42541</v>
      </c>
      <c r="H17" s="45">
        <v>42562</v>
      </c>
      <c r="I17" s="45">
        <v>42576</v>
      </c>
      <c r="J17" s="45">
        <v>42591</v>
      </c>
      <c r="K17" s="45">
        <v>42604</v>
      </c>
      <c r="L17" s="45">
        <v>42625</v>
      </c>
      <c r="M17" s="45">
        <v>42639</v>
      </c>
      <c r="N17" s="45">
        <v>42660</v>
      </c>
      <c r="O17" s="45">
        <v>42691</v>
      </c>
      <c r="P17" s="45">
        <v>42709</v>
      </c>
      <c r="S17" s="356">
        <v>10</v>
      </c>
      <c r="T17" s="239">
        <v>5.32</v>
      </c>
      <c r="U17" s="239">
        <v>4.68</v>
      </c>
      <c r="V17" s="239"/>
      <c r="Y17" s="239">
        <f t="shared" si="0"/>
        <v>0.64000000000000057</v>
      </c>
      <c r="Z17" s="239"/>
      <c r="AA17" s="239"/>
      <c r="AB17" s="239"/>
    </row>
    <row r="18" spans="1:28">
      <c r="A18" s="91" t="s">
        <v>197</v>
      </c>
      <c r="B18" s="239">
        <v>10.5</v>
      </c>
      <c r="C18" s="239">
        <v>3.5</v>
      </c>
      <c r="D18" s="239">
        <v>10.35</v>
      </c>
      <c r="E18" s="239">
        <v>11</v>
      </c>
      <c r="F18" s="239">
        <v>10.55</v>
      </c>
      <c r="G18" s="239">
        <v>10.6</v>
      </c>
      <c r="H18" s="239">
        <v>10.5</v>
      </c>
      <c r="I18" s="239">
        <v>10.45</v>
      </c>
      <c r="J18" s="239">
        <v>10.7</v>
      </c>
      <c r="K18" s="239">
        <v>10.3</v>
      </c>
      <c r="L18" s="239">
        <v>9.8000000000000007</v>
      </c>
      <c r="M18" s="239">
        <v>9.6</v>
      </c>
      <c r="N18" s="239">
        <v>9.26</v>
      </c>
      <c r="O18" s="239">
        <v>9.1</v>
      </c>
      <c r="P18" s="239">
        <v>9.3000000000000007</v>
      </c>
      <c r="S18" s="356">
        <v>11</v>
      </c>
      <c r="T18" s="239">
        <v>2.84</v>
      </c>
      <c r="U18" s="239">
        <v>3.36</v>
      </c>
      <c r="V18" s="239"/>
      <c r="Y18" s="239">
        <f t="shared" si="0"/>
        <v>-0.52</v>
      </c>
      <c r="Z18" s="239"/>
      <c r="AA18" s="239"/>
      <c r="AB18" s="239"/>
    </row>
    <row r="19" spans="1:28">
      <c r="A19" s="91" t="s">
        <v>243</v>
      </c>
      <c r="B19" s="239">
        <v>11.32</v>
      </c>
      <c r="C19" s="239">
        <v>9.85</v>
      </c>
      <c r="D19" s="239">
        <v>10.45</v>
      </c>
      <c r="E19" s="239">
        <v>9.5299999999999994</v>
      </c>
      <c r="F19" s="239">
        <v>7.43</v>
      </c>
      <c r="G19" s="239">
        <v>6.82</v>
      </c>
      <c r="H19" s="239">
        <v>7.36</v>
      </c>
      <c r="I19" s="239">
        <v>5.6</v>
      </c>
      <c r="J19" s="239">
        <v>6.02</v>
      </c>
      <c r="K19" s="239">
        <v>4.93</v>
      </c>
      <c r="L19" s="239">
        <v>9.25</v>
      </c>
      <c r="M19" s="239">
        <v>7.61</v>
      </c>
      <c r="N19" s="239">
        <v>8.76</v>
      </c>
      <c r="O19" s="239">
        <v>11.22</v>
      </c>
      <c r="P19" s="239">
        <v>13.55</v>
      </c>
    </row>
    <row r="20" spans="1:28">
      <c r="A20" s="91" t="s">
        <v>196</v>
      </c>
      <c r="B20" s="239">
        <v>7.83</v>
      </c>
      <c r="C20" s="239">
        <v>9.7899999999999991</v>
      </c>
      <c r="D20" s="239">
        <v>10.15</v>
      </c>
      <c r="E20" s="239">
        <v>9.06</v>
      </c>
      <c r="F20" s="239">
        <v>6.82</v>
      </c>
      <c r="G20" s="239">
        <v>5.89</v>
      </c>
      <c r="H20" s="239">
        <v>5.9</v>
      </c>
      <c r="I20" s="239">
        <v>5.42</v>
      </c>
      <c r="J20" s="239">
        <v>5.58</v>
      </c>
      <c r="K20" s="239">
        <v>4.63</v>
      </c>
      <c r="L20" s="239">
        <v>9.0399999999999991</v>
      </c>
      <c r="M20" s="239">
        <v>7.8</v>
      </c>
      <c r="N20" s="239">
        <v>8.14</v>
      </c>
      <c r="O20" s="239">
        <v>10.62</v>
      </c>
      <c r="P20" s="239">
        <v>13.47</v>
      </c>
    </row>
    <row r="21" spans="1:28">
      <c r="A21" s="91" t="s">
        <v>971</v>
      </c>
      <c r="B21" s="239">
        <v>6</v>
      </c>
      <c r="C21" s="239">
        <v>6</v>
      </c>
      <c r="D21" s="239">
        <v>6</v>
      </c>
      <c r="E21" s="239">
        <v>6</v>
      </c>
      <c r="F21" s="239">
        <v>6</v>
      </c>
      <c r="G21" s="239">
        <v>6</v>
      </c>
      <c r="H21" s="239">
        <v>6</v>
      </c>
      <c r="I21" s="239">
        <v>6</v>
      </c>
      <c r="J21" s="239">
        <v>6</v>
      </c>
      <c r="K21" s="239">
        <v>6</v>
      </c>
      <c r="L21" s="239">
        <v>6</v>
      </c>
      <c r="M21" s="239">
        <v>6</v>
      </c>
      <c r="N21" s="239">
        <v>6</v>
      </c>
      <c r="O21" s="239">
        <v>6</v>
      </c>
      <c r="P21" s="239">
        <v>6</v>
      </c>
    </row>
    <row r="22" spans="1:28">
      <c r="A22" s="91" t="s">
        <v>1494</v>
      </c>
      <c r="B22" s="239"/>
      <c r="C22" s="239"/>
      <c r="D22" s="239"/>
      <c r="E22" s="239"/>
      <c r="F22" s="239">
        <v>1</v>
      </c>
      <c r="G22" s="239">
        <v>1</v>
      </c>
      <c r="H22" s="239">
        <v>1</v>
      </c>
      <c r="I22" s="239">
        <v>1</v>
      </c>
      <c r="J22" s="239">
        <v>1</v>
      </c>
      <c r="K22" s="239">
        <v>1</v>
      </c>
      <c r="L22" s="239">
        <v>1</v>
      </c>
      <c r="M22" s="239">
        <v>1</v>
      </c>
      <c r="N22" s="239"/>
      <c r="O22" s="239"/>
      <c r="P22" s="239"/>
    </row>
    <row r="24" spans="1:28">
      <c r="A24" s="91" t="s">
        <v>187</v>
      </c>
      <c r="B24" s="2276" t="s">
        <v>1492</v>
      </c>
      <c r="C24" s="2276"/>
      <c r="D24" s="2276"/>
      <c r="E24" s="2276"/>
      <c r="F24" s="2276"/>
      <c r="G24" s="2276"/>
      <c r="H24" s="2276"/>
      <c r="I24" s="2276"/>
      <c r="J24" s="2276"/>
      <c r="K24" s="2276"/>
      <c r="L24" s="2276"/>
      <c r="M24" s="2276"/>
      <c r="N24" s="2276"/>
      <c r="O24" s="2276"/>
      <c r="P24" s="2276"/>
    </row>
    <row r="25" spans="1:28">
      <c r="B25" s="45">
        <v>42009</v>
      </c>
      <c r="C25" s="45">
        <v>42052</v>
      </c>
      <c r="D25" s="45">
        <v>42086</v>
      </c>
      <c r="E25" s="45">
        <v>42114</v>
      </c>
      <c r="F25" s="45">
        <v>42142</v>
      </c>
      <c r="G25" s="45">
        <v>42170</v>
      </c>
      <c r="H25" s="45">
        <v>42191</v>
      </c>
      <c r="I25" s="45">
        <v>42205</v>
      </c>
      <c r="J25" s="45">
        <v>42227</v>
      </c>
      <c r="K25" s="45">
        <v>42241</v>
      </c>
      <c r="L25" s="45">
        <v>42261</v>
      </c>
      <c r="M25" s="45">
        <v>42275</v>
      </c>
      <c r="N25" s="45">
        <v>42296</v>
      </c>
      <c r="O25" s="45">
        <v>42324</v>
      </c>
      <c r="P25" s="45">
        <v>42345</v>
      </c>
    </row>
    <row r="26" spans="1:28">
      <c r="A26" s="91" t="s">
        <v>197</v>
      </c>
      <c r="B26" s="239">
        <v>10.57</v>
      </c>
      <c r="C26" s="239">
        <v>10.52</v>
      </c>
      <c r="D26" s="239">
        <v>10.5</v>
      </c>
      <c r="E26" s="239">
        <v>10.7</v>
      </c>
      <c r="F26" s="239">
        <v>22.54</v>
      </c>
      <c r="G26" s="239">
        <v>22</v>
      </c>
      <c r="H26" s="239">
        <v>16.8</v>
      </c>
      <c r="I26" s="239">
        <v>14.7</v>
      </c>
      <c r="J26" s="239">
        <v>10.95</v>
      </c>
      <c r="K26" s="239">
        <v>10.5</v>
      </c>
      <c r="L26" s="239">
        <v>10.28</v>
      </c>
      <c r="M26" s="239">
        <v>10.199999999999999</v>
      </c>
      <c r="N26" s="239">
        <v>10.4</v>
      </c>
      <c r="O26" s="239">
        <v>9.1999999999999993</v>
      </c>
      <c r="P26" s="239">
        <v>10.4</v>
      </c>
    </row>
    <row r="27" spans="1:28">
      <c r="A27" s="91" t="s">
        <v>243</v>
      </c>
      <c r="B27" s="239">
        <v>14.055</v>
      </c>
      <c r="C27" s="239">
        <v>15.225000000000001</v>
      </c>
      <c r="D27" s="239">
        <v>15.3125</v>
      </c>
      <c r="E27" s="239">
        <v>10.244999999999999</v>
      </c>
      <c r="F27" s="239">
        <v>8.84</v>
      </c>
      <c r="G27" s="239">
        <v>7.7225000000000001</v>
      </c>
      <c r="H27" s="239">
        <v>8.16</v>
      </c>
      <c r="I27" s="239">
        <v>8.5350000000000001</v>
      </c>
      <c r="J27" s="239">
        <v>8.0250000000000004</v>
      </c>
      <c r="K27" s="239">
        <v>8.3674999999999997</v>
      </c>
      <c r="L27" s="239">
        <v>6.9449999999999994</v>
      </c>
      <c r="M27" s="239">
        <v>8.7725000000000009</v>
      </c>
      <c r="N27" s="239">
        <v>6.6124999999999998</v>
      </c>
      <c r="O27" s="239">
        <v>10.959999999999999</v>
      </c>
      <c r="P27" s="239">
        <v>14.055</v>
      </c>
    </row>
    <row r="28" spans="1:28">
      <c r="A28" s="91" t="s">
        <v>196</v>
      </c>
      <c r="B28" s="239">
        <v>11.061333333333332</v>
      </c>
      <c r="C28" s="239">
        <v>11.129999999999997</v>
      </c>
      <c r="D28" s="239">
        <v>12.259333333333332</v>
      </c>
      <c r="E28" s="239">
        <v>9.0920000000000005</v>
      </c>
      <c r="F28" s="239">
        <v>9.325333333333333</v>
      </c>
      <c r="G28" s="239">
        <v>8.09</v>
      </c>
      <c r="H28" s="239">
        <v>6.5520000000000005</v>
      </c>
      <c r="I28" s="239">
        <v>7.0633333333333344</v>
      </c>
      <c r="J28" s="239">
        <v>5.8213333333333335</v>
      </c>
      <c r="K28" s="239">
        <v>6.4414285714285695</v>
      </c>
      <c r="L28" s="239">
        <v>4.9314285714285706</v>
      </c>
      <c r="M28" s="239">
        <v>6.7900000000000009</v>
      </c>
      <c r="N28" s="239">
        <v>6.3092857142857142</v>
      </c>
      <c r="O28" s="239">
        <v>10.493076923076924</v>
      </c>
      <c r="P28" s="239">
        <v>10.265714285714285</v>
      </c>
    </row>
    <row r="29" spans="1:28">
      <c r="A29" s="91" t="s">
        <v>1494</v>
      </c>
      <c r="B29" s="239"/>
      <c r="C29" s="239"/>
      <c r="D29" s="239"/>
      <c r="E29" s="239"/>
      <c r="F29" s="239"/>
      <c r="G29" s="239"/>
      <c r="H29" s="239"/>
      <c r="I29" s="239"/>
      <c r="J29" s="239"/>
      <c r="K29" s="239"/>
      <c r="L29" s="239">
        <v>2</v>
      </c>
      <c r="M29" s="239">
        <v>2</v>
      </c>
      <c r="N29" s="239">
        <v>2</v>
      </c>
      <c r="O29" s="239">
        <v>2</v>
      </c>
      <c r="P29" s="239"/>
    </row>
    <row r="31" spans="1:28">
      <c r="A31" s="91" t="s">
        <v>187</v>
      </c>
      <c r="B31" s="2276" t="s">
        <v>1493</v>
      </c>
      <c r="C31" s="2276"/>
      <c r="D31" s="2276"/>
      <c r="E31" s="2276"/>
      <c r="F31" s="2276"/>
      <c r="G31" s="2276"/>
      <c r="H31" s="2276"/>
      <c r="I31" s="2276"/>
      <c r="J31" s="2276"/>
      <c r="K31" s="2276"/>
      <c r="L31" s="2276"/>
      <c r="M31" s="2276"/>
      <c r="N31" s="2276"/>
      <c r="O31" s="2276"/>
      <c r="P31" s="2276"/>
    </row>
    <row r="32" spans="1:28">
      <c r="B32" s="45">
        <v>41645</v>
      </c>
      <c r="C32" s="45">
        <v>41680</v>
      </c>
      <c r="D32" s="45">
        <v>41724</v>
      </c>
      <c r="E32" s="45">
        <v>41750</v>
      </c>
      <c r="F32" s="45">
        <v>41778</v>
      </c>
      <c r="G32" s="45">
        <v>41806</v>
      </c>
      <c r="H32" s="45">
        <v>41827</v>
      </c>
      <c r="I32" s="45">
        <v>41849</v>
      </c>
      <c r="J32" s="45">
        <v>41855</v>
      </c>
      <c r="K32" s="45">
        <v>41869</v>
      </c>
      <c r="L32" s="45">
        <v>41890</v>
      </c>
      <c r="M32" s="45">
        <v>41897</v>
      </c>
      <c r="N32" s="45">
        <v>41932</v>
      </c>
      <c r="O32" s="45">
        <v>41961</v>
      </c>
      <c r="P32" s="45">
        <v>41981</v>
      </c>
    </row>
    <row r="33" spans="1:16">
      <c r="A33" s="91" t="s">
        <v>197</v>
      </c>
      <c r="B33" s="239">
        <v>10.52</v>
      </c>
      <c r="C33" s="239">
        <v>10.6</v>
      </c>
      <c r="D33" s="239">
        <v>10.5</v>
      </c>
      <c r="E33" s="239">
        <v>10.87</v>
      </c>
      <c r="F33" s="239">
        <v>10.85</v>
      </c>
      <c r="G33" s="239">
        <v>10.76</v>
      </c>
      <c r="H33" s="239">
        <v>10.6</v>
      </c>
      <c r="I33" s="239">
        <v>10.7</v>
      </c>
      <c r="J33" s="239">
        <v>10.65</v>
      </c>
      <c r="K33" s="239">
        <v>10.77</v>
      </c>
      <c r="L33" s="239">
        <v>10.64</v>
      </c>
      <c r="M33" s="239">
        <v>10.63</v>
      </c>
      <c r="N33" s="239">
        <v>10.61</v>
      </c>
      <c r="O33" s="239">
        <v>10.9</v>
      </c>
      <c r="P33" s="239">
        <v>10.42</v>
      </c>
    </row>
    <row r="34" spans="1:16">
      <c r="A34" s="91" t="s">
        <v>243</v>
      </c>
      <c r="B34" s="239">
        <v>12.112500000000001</v>
      </c>
      <c r="C34" s="239">
        <v>11.579999999999998</v>
      </c>
      <c r="D34" s="239">
        <v>10.847499999999998</v>
      </c>
      <c r="E34" s="239">
        <v>10.615</v>
      </c>
      <c r="F34" s="239">
        <v>9.7149999999999999</v>
      </c>
      <c r="G34" s="239">
        <v>8.3774999999999995</v>
      </c>
      <c r="H34" s="239">
        <v>7.375</v>
      </c>
      <c r="I34" s="239">
        <v>8.0274999999999999</v>
      </c>
      <c r="J34" s="239">
        <v>9.192499999999999</v>
      </c>
      <c r="K34" s="239">
        <v>6.3199999999999994</v>
      </c>
      <c r="L34" s="239">
        <v>7.0425000000000004</v>
      </c>
      <c r="M34" s="239">
        <v>8.2424999999999997</v>
      </c>
      <c r="N34" s="239">
        <v>9.6549999999999994</v>
      </c>
      <c r="O34" s="239">
        <v>10.047499999999999</v>
      </c>
      <c r="P34" s="239">
        <v>11.942499999999999</v>
      </c>
    </row>
    <row r="35" spans="1:16">
      <c r="A35" s="91" t="s">
        <v>196</v>
      </c>
      <c r="B35" s="239">
        <v>9.3613333333333326</v>
      </c>
      <c r="C35" s="239">
        <v>7.9819999999999984</v>
      </c>
      <c r="D35" s="239">
        <v>10.30142857142857</v>
      </c>
      <c r="E35" s="239">
        <v>10.107333333333335</v>
      </c>
      <c r="F35" s="239">
        <v>8.7913333333333341</v>
      </c>
      <c r="G35" s="239">
        <v>7.9913333333333334</v>
      </c>
      <c r="H35" s="239">
        <v>6.8999999999999977</v>
      </c>
      <c r="I35" s="239">
        <v>7.0206666666666679</v>
      </c>
      <c r="J35" s="239">
        <v>8.1939999999999991</v>
      </c>
      <c r="K35" s="239">
        <v>6.0659999999999998</v>
      </c>
      <c r="L35" s="239">
        <v>6.6653333333333329</v>
      </c>
      <c r="M35" s="239">
        <v>7.7759999999999998</v>
      </c>
      <c r="N35" s="239">
        <v>9.4726666666666688</v>
      </c>
      <c r="O35" s="239">
        <v>9.42</v>
      </c>
      <c r="P35" s="239">
        <v>10.641999999999999</v>
      </c>
    </row>
    <row r="36" spans="1:16">
      <c r="A36" s="91" t="s">
        <v>1494</v>
      </c>
      <c r="F36" s="239">
        <v>2</v>
      </c>
      <c r="G36" s="239">
        <v>2</v>
      </c>
      <c r="H36" s="239">
        <v>2</v>
      </c>
      <c r="I36" s="239">
        <v>2</v>
      </c>
      <c r="J36" s="239">
        <v>2</v>
      </c>
      <c r="K36" s="239">
        <v>2</v>
      </c>
    </row>
    <row r="37" spans="1:16">
      <c r="B37" t="s">
        <v>64</v>
      </c>
      <c r="C37" t="s">
        <v>65</v>
      </c>
      <c r="D37" t="s">
        <v>66</v>
      </c>
      <c r="E37" t="s">
        <v>67</v>
      </c>
      <c r="F37" t="s">
        <v>68</v>
      </c>
      <c r="G37" t="s">
        <v>69</v>
      </c>
      <c r="H37" t="s">
        <v>70</v>
      </c>
      <c r="I37" t="s">
        <v>70</v>
      </c>
      <c r="J37" t="s">
        <v>71</v>
      </c>
      <c r="K37" t="s">
        <v>71</v>
      </c>
      <c r="L37" t="s">
        <v>72</v>
      </c>
      <c r="M37" t="s">
        <v>72</v>
      </c>
      <c r="N37" t="s">
        <v>73</v>
      </c>
      <c r="O37" t="s">
        <v>74</v>
      </c>
      <c r="P37" t="s">
        <v>75</v>
      </c>
    </row>
    <row r="38" spans="1:16">
      <c r="B38" s="1349">
        <v>2014</v>
      </c>
      <c r="C38" s="1349">
        <v>2015</v>
      </c>
      <c r="D38" s="1349">
        <v>2016</v>
      </c>
      <c r="E38" s="1349">
        <v>2017</v>
      </c>
      <c r="F38" s="1349">
        <v>2018</v>
      </c>
    </row>
    <row r="40" spans="1:16" ht="39">
      <c r="B40" s="1355" t="s">
        <v>89</v>
      </c>
      <c r="C40" s="1355" t="s">
        <v>1507</v>
      </c>
      <c r="D40" s="1355" t="s">
        <v>1508</v>
      </c>
      <c r="E40" s="1355" t="s">
        <v>1509</v>
      </c>
      <c r="F40" s="2403" t="s">
        <v>1512</v>
      </c>
      <c r="G40" s="2403"/>
      <c r="H40" s="2403"/>
      <c r="I40" s="1355" t="s">
        <v>5</v>
      </c>
      <c r="J40" s="1355" t="s">
        <v>1515</v>
      </c>
    </row>
    <row r="41" spans="1:16" ht="21.5" customHeight="1">
      <c r="B41" s="609">
        <v>2014</v>
      </c>
      <c r="C41" s="1355">
        <v>40</v>
      </c>
      <c r="D41" s="1176">
        <v>41764</v>
      </c>
      <c r="E41" s="1176">
        <v>41882</v>
      </c>
      <c r="F41" s="2639" t="s">
        <v>1510</v>
      </c>
      <c r="G41" s="2639"/>
      <c r="H41" s="2639"/>
      <c r="I41" s="1355"/>
      <c r="J41" s="1355">
        <v>60</v>
      </c>
    </row>
    <row r="42" spans="1:16" ht="25" customHeight="1">
      <c r="B42" s="609">
        <v>2015</v>
      </c>
      <c r="C42" s="1355">
        <v>40</v>
      </c>
      <c r="D42" s="1176">
        <v>42259</v>
      </c>
      <c r="E42" s="1176">
        <v>42324</v>
      </c>
      <c r="F42" s="2639" t="s">
        <v>1510</v>
      </c>
      <c r="G42" s="2639"/>
      <c r="H42" s="2639"/>
      <c r="I42" s="1355" t="s">
        <v>1513</v>
      </c>
      <c r="J42" s="1355">
        <v>45</v>
      </c>
    </row>
    <row r="43" spans="1:16" ht="36.5" customHeight="1">
      <c r="B43" s="609">
        <v>2016</v>
      </c>
      <c r="C43" s="1355">
        <v>15</v>
      </c>
      <c r="D43" s="1176">
        <v>42518</v>
      </c>
      <c r="E43" s="1176">
        <v>42638</v>
      </c>
      <c r="F43" s="2639" t="s">
        <v>1510</v>
      </c>
      <c r="G43" s="2639"/>
      <c r="H43" s="2639"/>
      <c r="I43" s="1355" t="s">
        <v>1514</v>
      </c>
      <c r="J43" s="1355">
        <v>60</v>
      </c>
    </row>
    <row r="44" spans="1:16">
      <c r="B44" s="609">
        <v>2017</v>
      </c>
      <c r="C44" s="1355">
        <v>15</v>
      </c>
      <c r="D44" s="1176">
        <v>42899</v>
      </c>
      <c r="E44" s="1176">
        <v>42996</v>
      </c>
      <c r="F44" s="2638" t="s">
        <v>1511</v>
      </c>
      <c r="G44" s="2638"/>
      <c r="H44" s="2638"/>
      <c r="I44" s="1355"/>
      <c r="J44" s="1355">
        <v>45</v>
      </c>
    </row>
    <row r="45" spans="1:16" ht="14" customHeight="1">
      <c r="B45" s="609">
        <v>2018</v>
      </c>
      <c r="C45" s="1355">
        <v>15</v>
      </c>
      <c r="D45" s="1176">
        <v>43253</v>
      </c>
      <c r="E45" s="1176">
        <v>43383</v>
      </c>
      <c r="F45" s="2638" t="s">
        <v>1511</v>
      </c>
      <c r="G45" s="2638"/>
      <c r="H45" s="2638"/>
      <c r="I45" s="1355"/>
      <c r="J45" s="1355">
        <v>45</v>
      </c>
    </row>
    <row r="46" spans="1:16">
      <c r="B46" s="609">
        <v>2019</v>
      </c>
      <c r="C46" s="1355">
        <v>15</v>
      </c>
      <c r="D46" s="1176">
        <v>43572</v>
      </c>
      <c r="E46" s="1355"/>
      <c r="F46" s="2638" t="s">
        <v>1511</v>
      </c>
      <c r="G46" s="2638"/>
      <c r="H46" s="2638"/>
      <c r="I46" s="1355"/>
      <c r="J46" s="1355"/>
    </row>
    <row r="47" spans="1:16">
      <c r="B47" s="91"/>
      <c r="C47" s="91"/>
      <c r="D47" s="91"/>
      <c r="E47" s="91"/>
      <c r="F47" s="91"/>
      <c r="G47" s="91"/>
      <c r="H47" s="91"/>
      <c r="I47" s="91" t="s">
        <v>15</v>
      </c>
      <c r="J47" s="1126">
        <f>AVERAGE(J41:J46)</f>
        <v>51</v>
      </c>
    </row>
    <row r="60" spans="2:4">
      <c r="B60" s="1350" t="s">
        <v>1495</v>
      </c>
      <c r="C60" s="1350" t="s">
        <v>1505</v>
      </c>
      <c r="D60" s="1350" t="s">
        <v>1496</v>
      </c>
    </row>
    <row r="61" spans="2:4">
      <c r="B61" s="2635">
        <v>41944</v>
      </c>
      <c r="C61" s="2635"/>
    </row>
    <row r="62" spans="2:4">
      <c r="B62" s="1351" t="s">
        <v>1497</v>
      </c>
      <c r="C62" s="1352">
        <v>850</v>
      </c>
      <c r="D62" s="1352">
        <v>35.799999999999997</v>
      </c>
    </row>
    <row r="63" spans="2:4">
      <c r="B63" s="1351" t="s">
        <v>1498</v>
      </c>
      <c r="C63" s="1352">
        <v>1300</v>
      </c>
      <c r="D63" s="1352">
        <v>36.1</v>
      </c>
    </row>
    <row r="64" spans="2:4">
      <c r="B64" s="1351" t="s">
        <v>1499</v>
      </c>
      <c r="C64" s="1352">
        <v>600</v>
      </c>
      <c r="D64" s="1352">
        <v>18.899999999999999</v>
      </c>
    </row>
    <row r="65" spans="2:4">
      <c r="B65" s="1351" t="s">
        <v>1500</v>
      </c>
      <c r="C65" s="1352">
        <v>900</v>
      </c>
      <c r="D65" s="1352">
        <v>31.9</v>
      </c>
    </row>
    <row r="66" spans="2:4">
      <c r="B66" s="1351" t="s">
        <v>1501</v>
      </c>
      <c r="C66" s="1352">
        <v>1650</v>
      </c>
      <c r="D66" s="1352">
        <v>28.9</v>
      </c>
    </row>
    <row r="67" spans="2:4">
      <c r="B67" s="1351" t="s">
        <v>1502</v>
      </c>
      <c r="C67" s="1352">
        <v>1500</v>
      </c>
      <c r="D67" s="1352">
        <v>32.799999999999997</v>
      </c>
    </row>
    <row r="68" spans="2:4">
      <c r="B68" s="2635">
        <v>43617</v>
      </c>
      <c r="C68" s="2635"/>
    </row>
    <row r="69" spans="2:4">
      <c r="B69" s="1353" t="s">
        <v>1506</v>
      </c>
      <c r="C69" s="1356">
        <v>800</v>
      </c>
      <c r="D69" s="1354">
        <v>35</v>
      </c>
    </row>
    <row r="70" spans="2:4">
      <c r="B70" s="1353" t="s">
        <v>1503</v>
      </c>
      <c r="C70" s="1356">
        <v>1500</v>
      </c>
      <c r="D70" s="1354">
        <v>35</v>
      </c>
    </row>
    <row r="71" spans="2:4">
      <c r="B71" s="1353" t="s">
        <v>1504</v>
      </c>
      <c r="C71" s="1356">
        <v>750</v>
      </c>
      <c r="D71" s="1354">
        <v>30</v>
      </c>
    </row>
    <row r="72" spans="2:4">
      <c r="B72" s="2636" t="s">
        <v>1516</v>
      </c>
      <c r="C72" s="2637"/>
      <c r="D72" s="1348">
        <f>AVERAGE(D62:D71)</f>
        <v>31.600000000000005</v>
      </c>
    </row>
  </sheetData>
  <mergeCells count="16">
    <mergeCell ref="T1:U1"/>
    <mergeCell ref="B61:C61"/>
    <mergeCell ref="B68:C68"/>
    <mergeCell ref="B72:C72"/>
    <mergeCell ref="B1:P1"/>
    <mergeCell ref="B8:P8"/>
    <mergeCell ref="B16:P16"/>
    <mergeCell ref="B24:P24"/>
    <mergeCell ref="B31:P31"/>
    <mergeCell ref="F45:H45"/>
    <mergeCell ref="F46:H46"/>
    <mergeCell ref="F40:H40"/>
    <mergeCell ref="F41:H41"/>
    <mergeCell ref="F42:H42"/>
    <mergeCell ref="F43:H43"/>
    <mergeCell ref="F44:H44"/>
  </mergeCells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Q55"/>
  <sheetViews>
    <sheetView topLeftCell="AE10" workbookViewId="0">
      <selection activeCell="AL26" sqref="AL26"/>
    </sheetView>
  </sheetViews>
  <sheetFormatPr defaultRowHeight="14"/>
  <cols>
    <col min="1" max="1" width="34.90625" style="19" customWidth="1"/>
    <col min="2" max="3" width="6.36328125" bestFit="1" customWidth="1"/>
    <col min="4" max="4" width="6.90625" bestFit="1" customWidth="1"/>
    <col min="5" max="5" width="7.54296875" customWidth="1"/>
    <col min="6" max="6" width="7.36328125" bestFit="1" customWidth="1"/>
    <col min="7" max="9" width="6.90625" bestFit="1" customWidth="1"/>
    <col min="10" max="10" width="5.36328125" bestFit="1" customWidth="1"/>
    <col min="11" max="13" width="6.36328125" bestFit="1" customWidth="1"/>
    <col min="14" max="14" width="13.7265625" bestFit="1" customWidth="1"/>
    <col min="15" max="15" width="10" customWidth="1"/>
    <col min="16" max="16" width="9.54296875" customWidth="1"/>
    <col min="17" max="17" width="26.6328125" customWidth="1"/>
    <col min="18" max="18" width="4.453125" bestFit="1" customWidth="1"/>
    <col min="19" max="20" width="4.90625" bestFit="1" customWidth="1"/>
    <col min="21" max="22" width="4.453125" bestFit="1" customWidth="1"/>
    <col min="23" max="24" width="5.26953125" bestFit="1" customWidth="1"/>
    <col min="25" max="25" width="6.26953125" bestFit="1" customWidth="1"/>
    <col min="26" max="26" width="5.26953125" bestFit="1" customWidth="1"/>
    <col min="31" max="31" width="26.81640625" customWidth="1"/>
    <col min="38" max="38" width="27.1796875" customWidth="1"/>
    <col min="40" max="40" width="5.26953125" bestFit="1" customWidth="1"/>
    <col min="41" max="41" width="5.54296875" bestFit="1" customWidth="1"/>
    <col min="42" max="42" width="4.90625" bestFit="1" customWidth="1"/>
    <col min="43" max="43" width="5.453125" bestFit="1" customWidth="1"/>
  </cols>
  <sheetData>
    <row r="1" spans="1:36">
      <c r="A1" s="2247" t="s">
        <v>88</v>
      </c>
      <c r="B1" s="2247"/>
      <c r="C1" s="2247"/>
      <c r="D1" s="2247"/>
      <c r="E1" s="2247"/>
      <c r="F1" s="2247"/>
      <c r="G1" s="2247"/>
      <c r="H1" s="2247"/>
      <c r="I1" s="2247"/>
      <c r="J1" s="2247"/>
      <c r="K1" s="2247"/>
      <c r="L1" s="2247"/>
      <c r="M1" s="2247"/>
      <c r="N1" s="2247"/>
      <c r="O1" s="248">
        <v>2.7230000000000002E-3</v>
      </c>
      <c r="P1" s="19"/>
      <c r="Q1" s="19"/>
      <c r="R1" s="20"/>
      <c r="S1" s="19"/>
      <c r="T1" s="19"/>
      <c r="AB1">
        <f>SUM(R3:AC3)</f>
        <v>36721.273951291922</v>
      </c>
    </row>
    <row r="2" spans="1:36">
      <c r="A2" s="125"/>
      <c r="B2" s="2248" t="s">
        <v>80</v>
      </c>
      <c r="C2" s="2248"/>
      <c r="D2" s="2248"/>
      <c r="E2" s="2248"/>
      <c r="F2" s="2248"/>
      <c r="G2" s="2248"/>
      <c r="H2" s="2248"/>
      <c r="I2" s="2248"/>
      <c r="J2" s="2248"/>
      <c r="K2" s="2248"/>
      <c r="L2" s="2248"/>
      <c r="M2" s="2248"/>
      <c r="N2" s="108"/>
      <c r="O2" s="19"/>
      <c r="P2" s="19"/>
      <c r="Q2" s="19"/>
      <c r="R2" s="1150">
        <v>2008</v>
      </c>
      <c r="S2" s="1150">
        <v>2009</v>
      </c>
      <c r="T2" s="1150">
        <v>2010</v>
      </c>
      <c r="U2" s="1150">
        <v>2011</v>
      </c>
      <c r="V2" s="1150">
        <v>2012</v>
      </c>
      <c r="W2" s="1150">
        <v>2013</v>
      </c>
      <c r="X2" s="1150">
        <v>2014</v>
      </c>
      <c r="Y2" s="1150">
        <v>2015</v>
      </c>
      <c r="Z2" s="1150">
        <v>2016</v>
      </c>
      <c r="AA2" s="1150">
        <v>2017</v>
      </c>
      <c r="AB2" s="1150">
        <v>2018</v>
      </c>
      <c r="AC2" s="1776">
        <v>2019</v>
      </c>
      <c r="AD2" t="s">
        <v>764</v>
      </c>
      <c r="AE2" s="2249" t="s">
        <v>1270</v>
      </c>
      <c r="AF2" s="2249"/>
      <c r="AG2" s="2249"/>
      <c r="AH2" s="2249"/>
      <c r="AI2" s="2249"/>
      <c r="AJ2" s="2249"/>
    </row>
    <row r="3" spans="1:36" ht="52">
      <c r="A3" s="126"/>
      <c r="B3" s="127" t="s">
        <v>64</v>
      </c>
      <c r="C3" s="127" t="s">
        <v>65</v>
      </c>
      <c r="D3" s="127" t="s">
        <v>66</v>
      </c>
      <c r="E3" s="127" t="s">
        <v>67</v>
      </c>
      <c r="F3" s="127" t="s">
        <v>68</v>
      </c>
      <c r="G3" s="127" t="s">
        <v>69</v>
      </c>
      <c r="H3" s="127" t="s">
        <v>70</v>
      </c>
      <c r="I3" s="127" t="s">
        <v>71</v>
      </c>
      <c r="J3" s="127" t="s">
        <v>72</v>
      </c>
      <c r="K3" s="127" t="s">
        <v>73</v>
      </c>
      <c r="L3" s="127" t="s">
        <v>74</v>
      </c>
      <c r="M3" s="127" t="s">
        <v>75</v>
      </c>
      <c r="N3" s="128" t="s">
        <v>81</v>
      </c>
      <c r="O3" s="19"/>
      <c r="P3" s="19"/>
      <c r="Q3" s="451" t="s">
        <v>408</v>
      </c>
      <c r="R3" s="1151">
        <v>667</v>
      </c>
      <c r="S3" s="1151">
        <v>1014</v>
      </c>
      <c r="T3" s="1151">
        <v>1395</v>
      </c>
      <c r="U3" s="358">
        <v>223</v>
      </c>
      <c r="V3" s="358">
        <v>374</v>
      </c>
      <c r="W3" s="358">
        <v>6759</v>
      </c>
      <c r="X3" s="358">
        <v>2030.6921468590576</v>
      </c>
      <c r="Y3" s="670">
        <v>18866.581804432863</v>
      </c>
      <c r="Z3" s="358">
        <v>1288</v>
      </c>
      <c r="AA3" s="31">
        <v>2983</v>
      </c>
      <c r="AB3" s="31">
        <v>332</v>
      </c>
      <c r="AC3" s="1373">
        <v>789</v>
      </c>
      <c r="AD3">
        <f>MEDIAN(R3:AA3)</f>
        <v>1341.5</v>
      </c>
      <c r="AE3" s="1152"/>
      <c r="AF3" s="578" t="s">
        <v>1282</v>
      </c>
      <c r="AG3" s="578" t="s">
        <v>1283</v>
      </c>
      <c r="AH3" s="578" t="s">
        <v>1284</v>
      </c>
      <c r="AI3" s="578" t="s">
        <v>1271</v>
      </c>
      <c r="AJ3" s="578" t="s">
        <v>1281</v>
      </c>
    </row>
    <row r="4" spans="1:36">
      <c r="A4" s="129" t="s">
        <v>307</v>
      </c>
      <c r="B4" s="89">
        <v>67.620300000000015</v>
      </c>
      <c r="C4" s="89">
        <v>138.01679999999999</v>
      </c>
      <c r="D4" s="89">
        <v>215.15550000000002</v>
      </c>
      <c r="E4" s="89">
        <v>511.61399999999998</v>
      </c>
      <c r="F4" s="89">
        <v>122.94600000000001</v>
      </c>
      <c r="G4" s="89">
        <v>696.03300000000002</v>
      </c>
      <c r="H4" s="89">
        <v>59.01408</v>
      </c>
      <c r="I4" s="89">
        <v>67.620300000000015</v>
      </c>
      <c r="J4" s="89">
        <v>19.631700000000002</v>
      </c>
      <c r="K4" s="89">
        <v>32.580690000000004</v>
      </c>
      <c r="L4" s="89">
        <v>118.98</v>
      </c>
      <c r="M4" s="89">
        <v>61.473000000000006</v>
      </c>
      <c r="N4" s="130">
        <f>SUM(B4:M4)</f>
        <v>2110.6853699999997</v>
      </c>
      <c r="O4" s="19"/>
      <c r="P4" s="242"/>
      <c r="Q4" s="272"/>
      <c r="R4" s="272"/>
      <c r="T4" s="19"/>
      <c r="AE4" s="1153">
        <v>2000</v>
      </c>
      <c r="AF4" s="1154">
        <v>3637</v>
      </c>
      <c r="AG4" s="1154">
        <f>AF4*0.25</f>
        <v>909.25</v>
      </c>
      <c r="AH4" s="1154">
        <v>1216</v>
      </c>
      <c r="AI4" s="1154">
        <f>AH4-AG4</f>
        <v>306.75</v>
      </c>
      <c r="AJ4" s="1155">
        <f>AI4/AH4</f>
        <v>0.25226151315789475</v>
      </c>
    </row>
    <row r="5" spans="1:36">
      <c r="A5" s="129" t="s">
        <v>306</v>
      </c>
      <c r="B5" s="89">
        <v>737.67599999999993</v>
      </c>
      <c r="C5" s="89">
        <v>517.56299999999999</v>
      </c>
      <c r="D5" s="89">
        <v>491.78400000000005</v>
      </c>
      <c r="E5" s="89">
        <v>737.67600000000004</v>
      </c>
      <c r="F5" s="89">
        <v>1438.4682</v>
      </c>
      <c r="G5" s="89">
        <v>5312.4569999999994</v>
      </c>
      <c r="H5" s="89">
        <v>3270.3636000000001</v>
      </c>
      <c r="I5" s="89">
        <v>1124.9559000000002</v>
      </c>
      <c r="J5" s="89">
        <v>577.053</v>
      </c>
      <c r="K5" s="89">
        <v>799.149</v>
      </c>
      <c r="L5" s="89">
        <v>594.90000000000009</v>
      </c>
      <c r="M5" s="89">
        <v>737.67599999999993</v>
      </c>
      <c r="N5" s="130">
        <f>SUM(B5:M5)</f>
        <v>16339.721699999998</v>
      </c>
      <c r="O5" s="19"/>
      <c r="P5" s="242"/>
      <c r="Q5" s="273"/>
      <c r="R5" s="273"/>
      <c r="T5" s="19"/>
      <c r="AE5" s="1153">
        <v>2001</v>
      </c>
      <c r="AF5" s="1154">
        <v>2638</v>
      </c>
      <c r="AG5" s="1154">
        <f t="shared" ref="AG5:AG23" si="0">AF5*0.25</f>
        <v>659.5</v>
      </c>
      <c r="AH5" s="1154">
        <v>1542</v>
      </c>
      <c r="AI5" s="1154">
        <f t="shared" ref="AI5:AI23" si="1">AH5-AG5</f>
        <v>882.5</v>
      </c>
      <c r="AJ5" s="1155">
        <f>AI5/AH5</f>
        <v>0.57230869001297013</v>
      </c>
    </row>
    <row r="6" spans="1:36">
      <c r="A6" s="126" t="s">
        <v>21</v>
      </c>
      <c r="B6" s="181">
        <f>SUM(B4:B5)</f>
        <v>805.29629999999997</v>
      </c>
      <c r="C6" s="181">
        <f t="shared" ref="C6:M6" si="2">SUM(C4:C5)</f>
        <v>655.57979999999998</v>
      </c>
      <c r="D6" s="181">
        <f t="shared" si="2"/>
        <v>706.93950000000007</v>
      </c>
      <c r="E6" s="181">
        <f t="shared" si="2"/>
        <v>1249.29</v>
      </c>
      <c r="F6" s="181">
        <f t="shared" si="2"/>
        <v>1561.4141999999999</v>
      </c>
      <c r="G6" s="181">
        <f t="shared" si="2"/>
        <v>6008.49</v>
      </c>
      <c r="H6" s="181">
        <f t="shared" si="2"/>
        <v>3329.3776800000001</v>
      </c>
      <c r="I6" s="181">
        <f t="shared" si="2"/>
        <v>1192.5762000000002</v>
      </c>
      <c r="J6" s="181">
        <f t="shared" si="2"/>
        <v>596.68470000000002</v>
      </c>
      <c r="K6" s="181">
        <f t="shared" si="2"/>
        <v>831.72969000000001</v>
      </c>
      <c r="L6" s="181">
        <f t="shared" si="2"/>
        <v>713.88000000000011</v>
      </c>
      <c r="M6" s="181">
        <f t="shared" si="2"/>
        <v>799.14899999999989</v>
      </c>
      <c r="N6" s="130">
        <f>SUM(N4:N5)</f>
        <v>18450.407069999997</v>
      </c>
      <c r="O6" s="19"/>
      <c r="P6" s="242"/>
      <c r="Q6" s="273"/>
      <c r="R6" s="273"/>
      <c r="T6" s="19"/>
      <c r="AE6" s="1153">
        <v>2002</v>
      </c>
      <c r="AF6" s="1154">
        <v>2721.5</v>
      </c>
      <c r="AG6" s="1154">
        <f t="shared" si="0"/>
        <v>680.375</v>
      </c>
      <c r="AH6" s="1154">
        <v>442</v>
      </c>
      <c r="AI6" s="1154">
        <f t="shared" si="1"/>
        <v>-238.375</v>
      </c>
      <c r="AJ6" s="1155">
        <v>0.02</v>
      </c>
    </row>
    <row r="7" spans="1:36">
      <c r="A7" s="126" t="s">
        <v>404</v>
      </c>
      <c r="B7" s="115">
        <v>221.30280000000002</v>
      </c>
      <c r="C7" s="115">
        <v>310.53780000000006</v>
      </c>
      <c r="D7" s="115">
        <v>700.79220000000009</v>
      </c>
      <c r="E7" s="115">
        <v>1035.126</v>
      </c>
      <c r="F7" s="115">
        <v>1659.7710000000002</v>
      </c>
      <c r="G7" s="115">
        <v>5800.2749999999996</v>
      </c>
      <c r="H7" s="115">
        <v>3245.7743999999998</v>
      </c>
      <c r="I7" s="115">
        <v>1364.7006000000001</v>
      </c>
      <c r="J7" s="115">
        <v>178.47</v>
      </c>
      <c r="K7" s="115">
        <v>295.07040000000001</v>
      </c>
      <c r="L7" s="115">
        <v>214.16400000000002</v>
      </c>
      <c r="M7" s="115">
        <v>331.95420000000007</v>
      </c>
      <c r="N7" s="138">
        <f>SUM(B7:M7)</f>
        <v>15357.938400000001</v>
      </c>
      <c r="O7" s="19"/>
      <c r="P7" s="242"/>
      <c r="Q7" s="273"/>
      <c r="R7" s="273"/>
      <c r="T7" s="19"/>
      <c r="AE7" s="1153">
        <v>2003</v>
      </c>
      <c r="AF7" s="1154">
        <v>4498.4600000000009</v>
      </c>
      <c r="AG7" s="1154">
        <f t="shared" si="0"/>
        <v>1124.6150000000002</v>
      </c>
      <c r="AH7" s="1154">
        <v>1687</v>
      </c>
      <c r="AI7" s="1154">
        <f t="shared" si="1"/>
        <v>562.38499999999976</v>
      </c>
      <c r="AJ7" s="1155">
        <f t="shared" ref="AJ7:AJ23" si="3">AI7/AH7</f>
        <v>0.33336395969176036</v>
      </c>
    </row>
    <row r="8" spans="1:36">
      <c r="A8" s="142" t="s">
        <v>406</v>
      </c>
      <c r="B8" s="561">
        <f>B6-B7</f>
        <v>583.99349999999993</v>
      </c>
      <c r="C8" s="561">
        <f t="shared" ref="C8:M8" si="4">C6-C7</f>
        <v>345.04199999999992</v>
      </c>
      <c r="D8" s="561">
        <f t="shared" si="4"/>
        <v>6.1472999999999729</v>
      </c>
      <c r="E8" s="561">
        <f t="shared" si="4"/>
        <v>214.16399999999999</v>
      </c>
      <c r="F8" s="561">
        <f t="shared" si="4"/>
        <v>-98.356800000000248</v>
      </c>
      <c r="G8" s="561">
        <f t="shared" si="4"/>
        <v>208.21500000000015</v>
      </c>
      <c r="H8" s="561">
        <f t="shared" si="4"/>
        <v>83.603280000000268</v>
      </c>
      <c r="I8" s="561">
        <f t="shared" si="4"/>
        <v>-172.12439999999992</v>
      </c>
      <c r="J8" s="561">
        <f t="shared" si="4"/>
        <v>418.21469999999999</v>
      </c>
      <c r="K8" s="561">
        <f t="shared" si="4"/>
        <v>536.65929000000006</v>
      </c>
      <c r="L8" s="561">
        <f t="shared" si="4"/>
        <v>499.71600000000012</v>
      </c>
      <c r="M8" s="561">
        <f t="shared" si="4"/>
        <v>467.19479999999982</v>
      </c>
      <c r="N8" s="562">
        <f>SUM(B8:M8)</f>
        <v>3092.4686699999997</v>
      </c>
      <c r="O8" s="19"/>
      <c r="P8" s="169"/>
      <c r="Q8" s="273"/>
      <c r="R8" s="273"/>
      <c r="T8" s="19"/>
      <c r="AE8" s="1153">
        <v>2004</v>
      </c>
      <c r="AF8" s="1154">
        <v>1716.1</v>
      </c>
      <c r="AG8" s="1154">
        <f t="shared" si="0"/>
        <v>429.02499999999998</v>
      </c>
      <c r="AH8" s="1154">
        <v>2318</v>
      </c>
      <c r="AI8" s="1154">
        <f t="shared" si="1"/>
        <v>1888.9749999999999</v>
      </c>
      <c r="AJ8" s="1155">
        <f t="shared" si="3"/>
        <v>0.81491587575496116</v>
      </c>
    </row>
    <row r="9" spans="1:36" ht="18" customHeight="1">
      <c r="A9" s="137" t="s">
        <v>944</v>
      </c>
      <c r="B9" s="90">
        <v>596.28809999999999</v>
      </c>
      <c r="C9" s="90">
        <v>713.08680000000004</v>
      </c>
      <c r="D9" s="90">
        <v>1217.1654000000001</v>
      </c>
      <c r="E9" s="90">
        <v>1409.913</v>
      </c>
      <c r="F9" s="90">
        <v>1770.4224000000002</v>
      </c>
      <c r="G9" s="90">
        <v>6246.45</v>
      </c>
      <c r="H9" s="90">
        <v>3479.3718000000003</v>
      </c>
      <c r="I9" s="90">
        <v>1770.4224000000002</v>
      </c>
      <c r="J9" s="90">
        <v>547.30799999999999</v>
      </c>
      <c r="K9" s="90">
        <v>872.91660000000002</v>
      </c>
      <c r="L9" s="90">
        <v>577.053</v>
      </c>
      <c r="M9" s="90">
        <v>540.96240000000012</v>
      </c>
      <c r="N9" s="130">
        <f>SUM(B9:M9)</f>
        <v>19741.359900000003</v>
      </c>
      <c r="O9" s="19"/>
      <c r="P9" s="269"/>
      <c r="Q9" s="273"/>
      <c r="R9" s="273"/>
      <c r="T9" s="19"/>
      <c r="AE9" s="1153">
        <v>2005</v>
      </c>
      <c r="AF9" s="1154">
        <v>1993.63</v>
      </c>
      <c r="AG9" s="1154">
        <f t="shared" si="0"/>
        <v>498.40750000000003</v>
      </c>
      <c r="AH9" s="1154">
        <v>2795</v>
      </c>
      <c r="AI9" s="1154">
        <f t="shared" si="1"/>
        <v>2296.5924999999997</v>
      </c>
      <c r="AJ9" s="1155">
        <f t="shared" si="3"/>
        <v>0.8216788908765652</v>
      </c>
    </row>
    <row r="10" spans="1:36">
      <c r="A10" s="134"/>
      <c r="B10" s="135"/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9"/>
      <c r="P10" s="19"/>
      <c r="Q10" s="275"/>
      <c r="R10" s="19"/>
      <c r="S10" s="19"/>
      <c r="T10" s="19"/>
      <c r="V10" s="275"/>
      <c r="W10" s="270"/>
      <c r="X10" s="270"/>
      <c r="Y10" s="270"/>
      <c r="Z10" s="274"/>
      <c r="AE10" s="1153">
        <v>2006</v>
      </c>
      <c r="AF10" s="1154">
        <v>1544.82</v>
      </c>
      <c r="AG10" s="1154">
        <f t="shared" si="0"/>
        <v>386.20499999999998</v>
      </c>
      <c r="AH10" s="1154">
        <v>1016</v>
      </c>
      <c r="AI10" s="1154">
        <f t="shared" si="1"/>
        <v>629.79500000000007</v>
      </c>
      <c r="AJ10" s="1155">
        <f t="shared" si="3"/>
        <v>0.61987696850393703</v>
      </c>
    </row>
    <row r="11" spans="1:36">
      <c r="A11" s="132" t="s">
        <v>244</v>
      </c>
      <c r="B11" s="127" t="s">
        <v>64</v>
      </c>
      <c r="C11" s="127" t="s">
        <v>65</v>
      </c>
      <c r="D11" s="127" t="s">
        <v>66</v>
      </c>
      <c r="E11" s="127" t="s">
        <v>67</v>
      </c>
      <c r="F11" s="127" t="s">
        <v>68</v>
      </c>
      <c r="G11" s="127" t="s">
        <v>69</v>
      </c>
      <c r="H11" s="127" t="s">
        <v>70</v>
      </c>
      <c r="I11" s="127" t="s">
        <v>71</v>
      </c>
      <c r="J11" s="127" t="s">
        <v>72</v>
      </c>
      <c r="K11" s="127" t="s">
        <v>73</v>
      </c>
      <c r="L11" s="127" t="s">
        <v>74</v>
      </c>
      <c r="M11" s="127" t="s">
        <v>75</v>
      </c>
      <c r="N11" s="132" t="s">
        <v>82</v>
      </c>
      <c r="O11" s="19"/>
      <c r="P11" s="19"/>
      <c r="Q11" s="19"/>
      <c r="R11" s="19"/>
      <c r="S11" s="19"/>
      <c r="T11" s="19"/>
      <c r="AE11" s="1153">
        <v>2007</v>
      </c>
      <c r="AF11" s="1154">
        <v>1871.82</v>
      </c>
      <c r="AG11" s="1154">
        <f t="shared" si="0"/>
        <v>467.95499999999998</v>
      </c>
      <c r="AH11" s="1154">
        <v>6357</v>
      </c>
      <c r="AI11" s="1154">
        <f t="shared" si="1"/>
        <v>5889.0450000000001</v>
      </c>
      <c r="AJ11" s="1155">
        <f t="shared" si="3"/>
        <v>0.92638744690891928</v>
      </c>
    </row>
    <row r="12" spans="1:36">
      <c r="A12" s="129" t="s">
        <v>307</v>
      </c>
      <c r="B12" s="136">
        <v>830</v>
      </c>
      <c r="C12" s="136">
        <v>752</v>
      </c>
      <c r="D12" s="136">
        <v>900</v>
      </c>
      <c r="E12" s="136">
        <v>667</v>
      </c>
      <c r="F12" s="136">
        <v>625</v>
      </c>
      <c r="G12" s="136">
        <v>463</v>
      </c>
      <c r="H12" s="136">
        <v>562</v>
      </c>
      <c r="I12" s="452">
        <v>585.5</v>
      </c>
      <c r="J12" s="452">
        <v>760.5</v>
      </c>
      <c r="K12" s="452">
        <v>725</v>
      </c>
      <c r="L12" s="136">
        <v>404</v>
      </c>
      <c r="M12" s="136">
        <v>808</v>
      </c>
      <c r="N12" s="130">
        <f>AVERAGE(B12:M12)</f>
        <v>673.5</v>
      </c>
      <c r="O12" s="19"/>
      <c r="P12" s="19"/>
      <c r="Q12" s="19"/>
      <c r="R12" s="19"/>
      <c r="S12" s="19"/>
      <c r="T12" s="19"/>
      <c r="AE12" s="1153">
        <v>2008</v>
      </c>
      <c r="AF12" s="1154">
        <v>1243.4000000000001</v>
      </c>
      <c r="AG12" s="1154">
        <f t="shared" si="0"/>
        <v>310.85000000000002</v>
      </c>
      <c r="AH12" s="1154">
        <v>1658</v>
      </c>
      <c r="AI12" s="1154">
        <f t="shared" si="1"/>
        <v>1347.15</v>
      </c>
      <c r="AJ12" s="1155">
        <f t="shared" si="3"/>
        <v>0.81251507840772019</v>
      </c>
    </row>
    <row r="13" spans="1:36">
      <c r="A13" s="129" t="s">
        <v>306</v>
      </c>
      <c r="B13" s="556">
        <v>2028</v>
      </c>
      <c r="C13" s="556">
        <v>1378</v>
      </c>
      <c r="D13" s="556">
        <v>1534</v>
      </c>
      <c r="E13" s="556">
        <v>824</v>
      </c>
      <c r="F13" s="556">
        <v>674</v>
      </c>
      <c r="G13" s="556">
        <v>446</v>
      </c>
      <c r="H13" s="556">
        <v>367.5</v>
      </c>
      <c r="I13" s="556">
        <v>476</v>
      </c>
      <c r="J13" s="556">
        <v>627.5</v>
      </c>
      <c r="K13" s="556">
        <v>613</v>
      </c>
      <c r="L13" s="556">
        <v>718</v>
      </c>
      <c r="M13" s="556">
        <v>825</v>
      </c>
      <c r="N13" s="130">
        <f>AVERAGE(B13:M13)</f>
        <v>875.91666666666663</v>
      </c>
      <c r="O13" s="19"/>
      <c r="P13" s="19"/>
      <c r="Q13" s="19"/>
      <c r="R13" s="19"/>
      <c r="S13" s="19"/>
      <c r="T13" s="19"/>
      <c r="AE13" s="1153">
        <v>2009</v>
      </c>
      <c r="AF13" s="1154">
        <v>1251.8000000000002</v>
      </c>
      <c r="AG13" s="1154">
        <f t="shared" si="0"/>
        <v>312.95000000000005</v>
      </c>
      <c r="AH13" s="1154">
        <v>2375</v>
      </c>
      <c r="AI13" s="1154">
        <f t="shared" si="1"/>
        <v>2062.0500000000002</v>
      </c>
      <c r="AJ13" s="1155">
        <f t="shared" si="3"/>
        <v>0.86823157894736847</v>
      </c>
    </row>
    <row r="14" spans="1:36">
      <c r="A14" s="143" t="s">
        <v>308</v>
      </c>
      <c r="B14" s="136">
        <v>926</v>
      </c>
      <c r="C14" s="136">
        <v>1350</v>
      </c>
      <c r="D14" s="136">
        <v>1143</v>
      </c>
      <c r="E14" s="136">
        <v>799</v>
      </c>
      <c r="F14" s="136">
        <v>811</v>
      </c>
      <c r="G14" s="136">
        <v>521</v>
      </c>
      <c r="H14" s="136">
        <v>391.5</v>
      </c>
      <c r="I14" s="136">
        <v>469</v>
      </c>
      <c r="J14" s="136">
        <v>559</v>
      </c>
      <c r="K14" s="136">
        <v>371</v>
      </c>
      <c r="L14" s="136">
        <v>426</v>
      </c>
      <c r="M14" s="136">
        <v>474</v>
      </c>
      <c r="N14" s="130">
        <f>AVERAGE(B14:M14)</f>
        <v>686.70833333333337</v>
      </c>
      <c r="O14" s="19"/>
      <c r="P14" s="19"/>
      <c r="Q14" s="183"/>
      <c r="R14" s="183"/>
      <c r="S14" s="19"/>
      <c r="T14" s="271"/>
      <c r="U14" s="45"/>
      <c r="V14" s="45"/>
      <c r="W14" s="45"/>
      <c r="AE14" s="1153">
        <v>2010</v>
      </c>
      <c r="AF14" s="1154">
        <v>1121.4100000000001</v>
      </c>
      <c r="AG14" s="1154">
        <f t="shared" si="0"/>
        <v>280.35250000000002</v>
      </c>
      <c r="AH14" s="1154">
        <v>3654</v>
      </c>
      <c r="AI14" s="1154">
        <f t="shared" si="1"/>
        <v>3373.6475</v>
      </c>
      <c r="AJ14" s="1155">
        <f t="shared" si="3"/>
        <v>0.92327517788724689</v>
      </c>
    </row>
    <row r="15" spans="1:36">
      <c r="A15" s="143" t="s">
        <v>944</v>
      </c>
      <c r="B15" s="136">
        <v>1442</v>
      </c>
      <c r="C15" s="136">
        <v>1542</v>
      </c>
      <c r="D15" s="136">
        <v>1136</v>
      </c>
      <c r="E15" s="136">
        <v>884</v>
      </c>
      <c r="F15" s="136">
        <v>624</v>
      </c>
      <c r="G15" s="136">
        <v>522</v>
      </c>
      <c r="H15" s="136">
        <v>547</v>
      </c>
      <c r="I15" s="136">
        <v>505.5</v>
      </c>
      <c r="J15" s="136">
        <v>795</v>
      </c>
      <c r="K15" s="136">
        <v>650</v>
      </c>
      <c r="L15" s="136">
        <v>779</v>
      </c>
      <c r="M15" s="136">
        <v>835</v>
      </c>
      <c r="N15" s="130">
        <f>AVERAGE(B15:M15)</f>
        <v>855.125</v>
      </c>
      <c r="O15" s="19"/>
      <c r="P15" s="19"/>
      <c r="Q15" s="183"/>
      <c r="R15" s="183"/>
      <c r="S15" s="19"/>
      <c r="T15" s="271"/>
      <c r="U15" s="45"/>
      <c r="V15" s="45"/>
      <c r="W15" s="45"/>
      <c r="AE15" s="1153">
        <v>2011</v>
      </c>
      <c r="AF15" s="1154">
        <v>909.31000000000006</v>
      </c>
      <c r="AG15" s="1154">
        <f t="shared" si="0"/>
        <v>227.32750000000001</v>
      </c>
      <c r="AH15" s="1154">
        <v>847</v>
      </c>
      <c r="AI15" s="1154">
        <f t="shared" si="1"/>
        <v>619.67250000000001</v>
      </c>
      <c r="AJ15" s="1155">
        <f t="shared" si="3"/>
        <v>0.73160861865407323</v>
      </c>
    </row>
    <row r="16" spans="1:36">
      <c r="A16" s="137"/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38"/>
      <c r="O16" s="19"/>
      <c r="P16" s="19"/>
      <c r="Q16" s="183"/>
      <c r="R16" s="183"/>
      <c r="S16" s="19"/>
      <c r="T16" s="19"/>
      <c r="AE16" s="1153">
        <v>2012</v>
      </c>
      <c r="AF16" s="1154">
        <v>971.91999999999985</v>
      </c>
      <c r="AG16" s="1154">
        <f t="shared" si="0"/>
        <v>242.97999999999996</v>
      </c>
      <c r="AH16" s="1154">
        <v>634</v>
      </c>
      <c r="AI16" s="1154">
        <f t="shared" si="1"/>
        <v>391.02000000000004</v>
      </c>
      <c r="AJ16" s="1155">
        <f t="shared" si="3"/>
        <v>0.61675078864353317</v>
      </c>
    </row>
    <row r="17" spans="1:43">
      <c r="A17" s="132" t="s">
        <v>268</v>
      </c>
      <c r="B17" s="130" t="s">
        <v>64</v>
      </c>
      <c r="C17" s="130" t="s">
        <v>65</v>
      </c>
      <c r="D17" s="130" t="s">
        <v>66</v>
      </c>
      <c r="E17" s="130" t="s">
        <v>67</v>
      </c>
      <c r="F17" s="130" t="s">
        <v>68</v>
      </c>
      <c r="G17" s="130" t="s">
        <v>69</v>
      </c>
      <c r="H17" s="130" t="s">
        <v>70</v>
      </c>
      <c r="I17" s="130" t="s">
        <v>71</v>
      </c>
      <c r="J17" s="130" t="s">
        <v>72</v>
      </c>
      <c r="K17" s="130" t="s">
        <v>73</v>
      </c>
      <c r="L17" s="130" t="s">
        <v>74</v>
      </c>
      <c r="M17" s="130" t="s">
        <v>75</v>
      </c>
      <c r="N17" s="130" t="s">
        <v>241</v>
      </c>
      <c r="O17" s="19"/>
      <c r="P17" s="19"/>
      <c r="Q17" s="183"/>
      <c r="R17" s="183"/>
      <c r="S17" s="19"/>
      <c r="T17" s="19"/>
      <c r="AE17" s="1153">
        <v>2013</v>
      </c>
      <c r="AF17" s="1154">
        <v>1138.01</v>
      </c>
      <c r="AG17" s="1154">
        <f t="shared" si="0"/>
        <v>284.5025</v>
      </c>
      <c r="AH17" s="1154">
        <v>16006</v>
      </c>
      <c r="AI17" s="1154">
        <f t="shared" si="1"/>
        <v>15721.497499999999</v>
      </c>
      <c r="AJ17" s="1155">
        <f t="shared" si="3"/>
        <v>0.98222525927777082</v>
      </c>
    </row>
    <row r="18" spans="1:43">
      <c r="A18" s="129" t="s">
        <v>307</v>
      </c>
      <c r="B18" s="136">
        <f>B4*$O$1*B12</f>
        <v>152.82796382700005</v>
      </c>
      <c r="C18" s="136">
        <f t="shared" ref="C18:M18" si="5">C4*$O$1*C12</f>
        <v>282.61644929279998</v>
      </c>
      <c r="D18" s="136">
        <f t="shared" si="5"/>
        <v>527.28158385000006</v>
      </c>
      <c r="E18" s="136">
        <f t="shared" si="5"/>
        <v>929.21432297399997</v>
      </c>
      <c r="F18" s="136">
        <f t="shared" si="5"/>
        <v>209.23872375000002</v>
      </c>
      <c r="G18" s="136">
        <f t="shared" si="5"/>
        <v>877.52290871700006</v>
      </c>
      <c r="H18" s="136">
        <f t="shared" si="5"/>
        <v>90.310780990080005</v>
      </c>
      <c r="I18" s="136">
        <f t="shared" si="5"/>
        <v>107.80816002495003</v>
      </c>
      <c r="J18" s="136">
        <f t="shared" si="5"/>
        <v>40.654139075550006</v>
      </c>
      <c r="K18" s="136">
        <f t="shared" si="5"/>
        <v>64.319983680750013</v>
      </c>
      <c r="L18" s="136">
        <f t="shared" si="5"/>
        <v>130.88894616000002</v>
      </c>
      <c r="M18" s="136">
        <f t="shared" si="5"/>
        <v>135.25191103200001</v>
      </c>
      <c r="N18" s="130">
        <f>SUM(B18:M18)</f>
        <v>3547.9358733741306</v>
      </c>
      <c r="O18" s="19"/>
      <c r="P18" s="19"/>
      <c r="Q18" s="183"/>
      <c r="R18" s="183"/>
      <c r="S18" s="19"/>
      <c r="T18" s="19"/>
      <c r="AE18" s="1153">
        <v>2014</v>
      </c>
      <c r="AF18" s="1154">
        <v>1075.79</v>
      </c>
      <c r="AG18" s="1154">
        <f t="shared" si="0"/>
        <v>268.94749999999999</v>
      </c>
      <c r="AH18" s="1154">
        <v>4010</v>
      </c>
      <c r="AI18" s="1154">
        <f t="shared" si="1"/>
        <v>3741.0524999999998</v>
      </c>
      <c r="AJ18" s="1155">
        <f t="shared" si="3"/>
        <v>0.93293079800498746</v>
      </c>
    </row>
    <row r="19" spans="1:43">
      <c r="A19" s="129" t="s">
        <v>306</v>
      </c>
      <c r="B19" s="136">
        <f>B5*$O$1*B13</f>
        <v>4073.6268649439999</v>
      </c>
      <c r="C19" s="136">
        <f t="shared" ref="C19:M19" si="6">C5*$O$1*C13</f>
        <v>1942.0485395220001</v>
      </c>
      <c r="D19" s="136">
        <f t="shared" si="6"/>
        <v>2054.2220942880003</v>
      </c>
      <c r="E19" s="136">
        <f t="shared" si="6"/>
        <v>1655.1620003520004</v>
      </c>
      <c r="F19" s="136">
        <f t="shared" si="6"/>
        <v>2640.0235643964002</v>
      </c>
      <c r="G19" s="136">
        <f t="shared" si="6"/>
        <v>6451.7559033059997</v>
      </c>
      <c r="H19" s="136">
        <f t="shared" si="6"/>
        <v>3272.6610304290002</v>
      </c>
      <c r="I19" s="136">
        <f t="shared" si="6"/>
        <v>1458.1093398732003</v>
      </c>
      <c r="J19" s="136">
        <f t="shared" si="6"/>
        <v>986.00036267250005</v>
      </c>
      <c r="K19" s="136">
        <f t="shared" si="6"/>
        <v>1333.9387116510002</v>
      </c>
      <c r="L19" s="136">
        <f t="shared" si="6"/>
        <v>1163.0973186000003</v>
      </c>
      <c r="M19" s="136">
        <f t="shared" si="6"/>
        <v>1657.1706921</v>
      </c>
      <c r="N19" s="130">
        <f>SUM(B19:M19)</f>
        <v>28687.816422134107</v>
      </c>
      <c r="O19" s="19"/>
      <c r="P19" s="606">
        <f>N19/N20</f>
        <v>0.88993786027235033</v>
      </c>
      <c r="Q19" s="183"/>
      <c r="R19" s="183"/>
      <c r="S19" s="19"/>
      <c r="T19" s="19"/>
      <c r="AE19" s="1153">
        <v>2015</v>
      </c>
      <c r="AF19" s="1154">
        <v>1235.1799999999998</v>
      </c>
      <c r="AG19" s="1154">
        <f t="shared" si="0"/>
        <v>308.79499999999996</v>
      </c>
      <c r="AH19" s="1154">
        <v>29186</v>
      </c>
      <c r="AI19" s="1154">
        <f t="shared" si="1"/>
        <v>28877.205000000002</v>
      </c>
      <c r="AJ19" s="1155">
        <f t="shared" si="3"/>
        <v>0.98941975604742005</v>
      </c>
    </row>
    <row r="20" spans="1:43">
      <c r="A20" s="133" t="s">
        <v>83</v>
      </c>
      <c r="B20" s="180">
        <f>SUM(B18:B19)</f>
        <v>4226.4548287709995</v>
      </c>
      <c r="C20" s="180">
        <f t="shared" ref="C20:N20" si="7">SUM(C18:C19)</f>
        <v>2224.6649888147999</v>
      </c>
      <c r="D20" s="180">
        <f t="shared" si="7"/>
        <v>2581.5036781380004</v>
      </c>
      <c r="E20" s="180">
        <f t="shared" si="7"/>
        <v>2584.3763233260006</v>
      </c>
      <c r="F20" s="180">
        <f t="shared" si="7"/>
        <v>2849.2622881464004</v>
      </c>
      <c r="G20" s="180">
        <f t="shared" si="7"/>
        <v>7329.2788120229998</v>
      </c>
      <c r="H20" s="180">
        <f t="shared" si="7"/>
        <v>3362.97181141908</v>
      </c>
      <c r="I20" s="180">
        <f t="shared" si="7"/>
        <v>1565.9174998981503</v>
      </c>
      <c r="J20" s="180">
        <f t="shared" si="7"/>
        <v>1026.6545017480501</v>
      </c>
      <c r="K20" s="180">
        <f t="shared" si="7"/>
        <v>1398.2586953317502</v>
      </c>
      <c r="L20" s="180">
        <f t="shared" si="7"/>
        <v>1293.9862647600003</v>
      </c>
      <c r="M20" s="180">
        <f t="shared" si="7"/>
        <v>1792.4226031319999</v>
      </c>
      <c r="N20" s="130">
        <f t="shared" si="7"/>
        <v>32235.752295508239</v>
      </c>
      <c r="O20" s="19" t="s">
        <v>1390</v>
      </c>
      <c r="P20" s="19">
        <f>H20+G20</f>
        <v>10692.25062344208</v>
      </c>
      <c r="Q20" s="183"/>
      <c r="R20" s="183"/>
      <c r="S20" s="19"/>
      <c r="T20" s="19"/>
      <c r="AE20" s="1153">
        <v>2016</v>
      </c>
      <c r="AF20" s="358">
        <v>1024</v>
      </c>
      <c r="AG20" s="1154">
        <f t="shared" si="0"/>
        <v>256</v>
      </c>
      <c r="AH20" s="358">
        <v>5657</v>
      </c>
      <c r="AI20" s="1154">
        <f t="shared" si="1"/>
        <v>5401</v>
      </c>
      <c r="AJ20" s="1155">
        <f t="shared" si="3"/>
        <v>0.95474633197808023</v>
      </c>
    </row>
    <row r="21" spans="1:43">
      <c r="A21" s="137" t="s">
        <v>405</v>
      </c>
      <c r="B21" s="136">
        <f>B7*$O$1*B15</f>
        <v>868.96005018480014</v>
      </c>
      <c r="C21" s="136">
        <f t="shared" ref="C21:M21" si="8">C7*$O$1*C15</f>
        <v>1303.9066101348003</v>
      </c>
      <c r="D21" s="136">
        <f t="shared" si="8"/>
        <v>2167.7801344416002</v>
      </c>
      <c r="E21" s="136">
        <f t="shared" si="8"/>
        <v>2491.6849186320001</v>
      </c>
      <c r="F21" s="136">
        <f t="shared" si="8"/>
        <v>2820.2032141920004</v>
      </c>
      <c r="G21" s="136">
        <f t="shared" si="8"/>
        <v>8244.5456866500008</v>
      </c>
      <c r="H21" s="136">
        <f t="shared" si="8"/>
        <v>4834.5192990864007</v>
      </c>
      <c r="I21" s="136">
        <f t="shared" si="8"/>
        <v>1878.4783054359002</v>
      </c>
      <c r="J21" s="136">
        <f t="shared" si="8"/>
        <v>386.34917895000001</v>
      </c>
      <c r="K21" s="136">
        <f t="shared" si="8"/>
        <v>522.25985448000006</v>
      </c>
      <c r="L21" s="136">
        <f t="shared" si="8"/>
        <v>454.28831758800004</v>
      </c>
      <c r="M21" s="136">
        <f t="shared" si="8"/>
        <v>754.76592431100016</v>
      </c>
      <c r="N21" s="138">
        <f>SUM(B21:M21)</f>
        <v>26727.741494086502</v>
      </c>
      <c r="O21" s="19"/>
      <c r="P21" s="606">
        <f>P20/N20</f>
        <v>0.33168919172182459</v>
      </c>
      <c r="Q21" s="183"/>
      <c r="R21" s="183"/>
      <c r="S21" s="19"/>
      <c r="T21" s="19"/>
      <c r="AE21" s="1157">
        <v>2017</v>
      </c>
      <c r="AF21" s="1158">
        <v>1011</v>
      </c>
      <c r="AG21" s="1154">
        <f t="shared" si="0"/>
        <v>252.75</v>
      </c>
      <c r="AH21" s="1158">
        <v>6034</v>
      </c>
      <c r="AI21" s="1158">
        <f t="shared" si="1"/>
        <v>5781.25</v>
      </c>
      <c r="AJ21" s="1159">
        <f t="shared" si="3"/>
        <v>0.95811236327477622</v>
      </c>
    </row>
    <row r="22" spans="1:43">
      <c r="A22" s="137" t="s">
        <v>407</v>
      </c>
      <c r="B22" s="182">
        <f>B20-B21</f>
        <v>3357.4947785861996</v>
      </c>
      <c r="C22" s="182">
        <f t="shared" ref="C22:M22" si="9">C20-C21</f>
        <v>920.75837867999962</v>
      </c>
      <c r="D22" s="182">
        <f t="shared" si="9"/>
        <v>413.72354369640016</v>
      </c>
      <c r="E22" s="182">
        <f t="shared" si="9"/>
        <v>92.691404694000539</v>
      </c>
      <c r="F22" s="182">
        <f t="shared" si="9"/>
        <v>29.059073954399992</v>
      </c>
      <c r="G22" s="182">
        <f t="shared" si="9"/>
        <v>-915.26687462700102</v>
      </c>
      <c r="H22" s="182">
        <f t="shared" si="9"/>
        <v>-1471.5474876673206</v>
      </c>
      <c r="I22" s="182">
        <f t="shared" si="9"/>
        <v>-312.56080553774996</v>
      </c>
      <c r="J22" s="182">
        <f t="shared" si="9"/>
        <v>640.30532279805004</v>
      </c>
      <c r="K22" s="182">
        <f t="shared" si="9"/>
        <v>875.99884085175017</v>
      </c>
      <c r="L22" s="182">
        <f t="shared" si="9"/>
        <v>839.69794717200023</v>
      </c>
      <c r="M22" s="182">
        <f t="shared" si="9"/>
        <v>1037.6566788209998</v>
      </c>
      <c r="N22" s="138">
        <f>SUM(B22:M22)</f>
        <v>5508.0108014217294</v>
      </c>
      <c r="O22" s="19"/>
      <c r="P22" s="19"/>
      <c r="Q22" s="183"/>
      <c r="R22" s="183"/>
      <c r="S22" s="19"/>
      <c r="T22" s="19"/>
      <c r="AE22" s="1153">
        <v>2018</v>
      </c>
      <c r="AF22" s="1158">
        <v>990</v>
      </c>
      <c r="AG22" s="1154">
        <f t="shared" si="0"/>
        <v>247.5</v>
      </c>
      <c r="AH22" s="1158">
        <v>741</v>
      </c>
      <c r="AI22" s="1158">
        <f t="shared" si="1"/>
        <v>493.5</v>
      </c>
      <c r="AJ22" s="1159">
        <f t="shared" si="3"/>
        <v>0.66599190283400811</v>
      </c>
    </row>
    <row r="23" spans="1:43">
      <c r="A23" s="137" t="s">
        <v>944</v>
      </c>
      <c r="B23" s="136">
        <f>B9*$O$1*B15</f>
        <v>2341.3645796646001</v>
      </c>
      <c r="C23" s="136">
        <f t="shared" ref="C23:M23" si="10">C9*$O$1*C15</f>
        <v>2994.1559195688001</v>
      </c>
      <c r="D23" s="136">
        <f t="shared" si="10"/>
        <v>3765.0918124512004</v>
      </c>
      <c r="E23" s="136">
        <f t="shared" si="10"/>
        <v>3393.8466995160002</v>
      </c>
      <c r="F23" s="136">
        <f t="shared" si="10"/>
        <v>3008.2167618048006</v>
      </c>
      <c r="G23" s="136">
        <f t="shared" si="10"/>
        <v>8878.7415087000008</v>
      </c>
      <c r="H23" s="136">
        <f t="shared" si="10"/>
        <v>5182.458188035801</v>
      </c>
      <c r="I23" s="136">
        <f t="shared" si="10"/>
        <v>2436.9448286736006</v>
      </c>
      <c r="J23" s="136">
        <f t="shared" si="10"/>
        <v>1184.8041487800001</v>
      </c>
      <c r="K23" s="136">
        <f t="shared" si="10"/>
        <v>1545.01873617</v>
      </c>
      <c r="L23" s="136">
        <f t="shared" si="10"/>
        <v>1224.0546335009999</v>
      </c>
      <c r="M23" s="136">
        <f t="shared" si="10"/>
        <v>1229.9889136920003</v>
      </c>
      <c r="N23" s="138">
        <f>SUM(B23:M23)</f>
        <v>37184.686730557805</v>
      </c>
      <c r="O23" s="19"/>
      <c r="P23" s="19"/>
      <c r="Q23" s="183"/>
      <c r="R23" s="183"/>
      <c r="S23" s="19"/>
      <c r="T23" s="19"/>
      <c r="AE23" s="1157">
        <v>2019</v>
      </c>
      <c r="AF23" s="1777">
        <v>1140.32</v>
      </c>
      <c r="AG23" s="1154">
        <f t="shared" si="0"/>
        <v>285.08</v>
      </c>
      <c r="AH23" s="1777">
        <v>2052</v>
      </c>
      <c r="AI23" s="1158">
        <f t="shared" si="1"/>
        <v>1766.92</v>
      </c>
      <c r="AJ23" s="1159">
        <f t="shared" si="3"/>
        <v>0.86107212475633532</v>
      </c>
    </row>
    <row r="24" spans="1:43">
      <c r="A24" s="144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9"/>
      <c r="P24" s="19"/>
      <c r="Q24" s="183"/>
      <c r="R24" s="183"/>
      <c r="S24" s="19"/>
      <c r="T24" s="19"/>
      <c r="AE24" s="1152" t="s">
        <v>764</v>
      </c>
      <c r="AF24" s="358">
        <f>MEDIAN(AF4:AF22)</f>
        <v>1243.4000000000001</v>
      </c>
      <c r="AG24" s="358">
        <f>MEDIAN(AG4:AG22)</f>
        <v>310.85000000000002</v>
      </c>
      <c r="AH24" s="358">
        <f>MEDIAN(AH4:AH22)</f>
        <v>2318</v>
      </c>
      <c r="AI24" s="358">
        <f>MEDIAN(AI4:AI22)</f>
        <v>1888.9749999999999</v>
      </c>
      <c r="AJ24" s="1274">
        <f>MEDIAN(AJ4:AJ22)</f>
        <v>0.81491587575496116</v>
      </c>
    </row>
    <row r="25" spans="1:43">
      <c r="A25" s="132" t="s">
        <v>62</v>
      </c>
      <c r="B25" s="127" t="s">
        <v>64</v>
      </c>
      <c r="C25" s="127" t="s">
        <v>65</v>
      </c>
      <c r="D25" s="127" t="s">
        <v>66</v>
      </c>
      <c r="E25" s="127" t="s">
        <v>67</v>
      </c>
      <c r="F25" s="127" t="s">
        <v>68</v>
      </c>
      <c r="G25" s="127" t="s">
        <v>69</v>
      </c>
      <c r="H25" s="127" t="s">
        <v>70</v>
      </c>
      <c r="I25" s="127" t="s">
        <v>71</v>
      </c>
      <c r="J25" s="127" t="s">
        <v>72</v>
      </c>
      <c r="K25" s="127" t="s">
        <v>73</v>
      </c>
      <c r="L25" s="127" t="s">
        <v>74</v>
      </c>
      <c r="M25" s="127" t="s">
        <v>75</v>
      </c>
      <c r="N25" s="130" t="s">
        <v>82</v>
      </c>
      <c r="O25" s="21"/>
      <c r="P25" s="21"/>
      <c r="Q25" s="276"/>
      <c r="R25" s="276"/>
      <c r="T25" s="19"/>
      <c r="AE25" s="359" t="s">
        <v>15</v>
      </c>
      <c r="AF25" s="358">
        <f>AVERAGE(AF4:AF22)</f>
        <v>1715.4289473684212</v>
      </c>
      <c r="AG25" s="358">
        <f>AVERAGE(AG4:AG22)</f>
        <v>428.85723684210529</v>
      </c>
      <c r="AH25" s="358">
        <f>AVERAGE(AH4:AH22)</f>
        <v>4640.7894736842109</v>
      </c>
      <c r="AI25" s="358">
        <f>AVERAGE(AI4:AI22)</f>
        <v>4211.9322368421053</v>
      </c>
      <c r="AJ25" s="1156">
        <f>AVERAGE(AJ4:AJ22)</f>
        <v>0.72613689467705211</v>
      </c>
    </row>
    <row r="26" spans="1:43">
      <c r="A26" s="139" t="s">
        <v>108</v>
      </c>
      <c r="B26" s="136">
        <v>2</v>
      </c>
      <c r="C26" s="136">
        <v>6</v>
      </c>
      <c r="D26" s="136">
        <v>21</v>
      </c>
      <c r="E26" s="136">
        <v>96</v>
      </c>
      <c r="F26" s="136">
        <v>7</v>
      </c>
      <c r="G26" s="136">
        <v>28</v>
      </c>
      <c r="H26" s="136">
        <v>18.5</v>
      </c>
      <c r="I26" s="1117">
        <v>88</v>
      </c>
      <c r="J26" s="1117">
        <v>12</v>
      </c>
      <c r="K26" s="1117">
        <v>13</v>
      </c>
      <c r="L26" s="136">
        <v>6</v>
      </c>
      <c r="M26" s="136">
        <v>41</v>
      </c>
      <c r="N26" s="140">
        <f>AVERAGE(B26:M26)</f>
        <v>28.208333333333332</v>
      </c>
      <c r="O26" s="22"/>
      <c r="P26" s="22"/>
      <c r="Q26" s="277"/>
      <c r="R26" s="277"/>
      <c r="T26" s="19"/>
    </row>
    <row r="27" spans="1:43">
      <c r="A27" s="139" t="s">
        <v>107</v>
      </c>
      <c r="B27" s="136">
        <v>19</v>
      </c>
      <c r="C27" s="136">
        <v>21</v>
      </c>
      <c r="D27" s="136">
        <v>37</v>
      </c>
      <c r="E27" s="136">
        <v>19</v>
      </c>
      <c r="F27" s="136">
        <v>25</v>
      </c>
      <c r="G27" s="136">
        <v>50</v>
      </c>
      <c r="H27" s="136">
        <v>38</v>
      </c>
      <c r="I27" s="136">
        <v>52</v>
      </c>
      <c r="J27" s="136">
        <v>93.5</v>
      </c>
      <c r="K27" s="136">
        <v>23</v>
      </c>
      <c r="L27" s="136">
        <v>16</v>
      </c>
      <c r="M27" s="136">
        <v>60</v>
      </c>
      <c r="N27" s="131">
        <f>AVERAGE(B27:M27)</f>
        <v>37.791666666666664</v>
      </c>
      <c r="O27" s="22"/>
      <c r="P27" s="22"/>
      <c r="Q27" s="277"/>
      <c r="R27" s="277"/>
      <c r="T27" s="19"/>
      <c r="AE27" s="91"/>
      <c r="AF27" s="2250" t="s">
        <v>1389</v>
      </c>
      <c r="AG27" s="2250"/>
      <c r="AH27" s="2250"/>
      <c r="AI27" s="2250"/>
      <c r="AJ27" s="2250"/>
      <c r="AM27" s="2251" t="s">
        <v>1692</v>
      </c>
      <c r="AN27" s="2251"/>
      <c r="AO27" s="2251"/>
      <c r="AP27" s="2251"/>
      <c r="AQ27" s="2251"/>
    </row>
    <row r="28" spans="1:43" ht="24.5" customHeight="1">
      <c r="A28" s="137" t="s">
        <v>405</v>
      </c>
      <c r="B28" s="136">
        <v>37</v>
      </c>
      <c r="C28" s="136">
        <v>47</v>
      </c>
      <c r="D28" s="136">
        <v>37</v>
      </c>
      <c r="E28" s="136">
        <v>49</v>
      </c>
      <c r="F28" s="136">
        <v>28</v>
      </c>
      <c r="G28" s="136">
        <v>24</v>
      </c>
      <c r="H28" s="136">
        <v>28.5</v>
      </c>
      <c r="I28" s="136">
        <v>43.5</v>
      </c>
      <c r="J28" s="136">
        <v>45</v>
      </c>
      <c r="K28" s="136">
        <v>33</v>
      </c>
      <c r="L28" s="136">
        <v>21</v>
      </c>
      <c r="M28" s="136">
        <v>13</v>
      </c>
      <c r="N28" s="131">
        <f>AVERAGE(B28:M28)</f>
        <v>33.833333333333336</v>
      </c>
      <c r="O28" s="22"/>
      <c r="P28" s="22"/>
      <c r="Q28" s="277"/>
      <c r="R28" s="277"/>
      <c r="T28" s="19"/>
      <c r="AE28" s="1160"/>
      <c r="AF28" s="1275" t="s">
        <v>1273</v>
      </c>
      <c r="AG28" s="1161" t="s">
        <v>1274</v>
      </c>
      <c r="AH28" s="1162" t="s">
        <v>1275</v>
      </c>
      <c r="AI28" s="1161" t="s">
        <v>1276</v>
      </c>
      <c r="AJ28" s="1161" t="s">
        <v>1272</v>
      </c>
      <c r="AM28" s="1275" t="s">
        <v>1273</v>
      </c>
      <c r="AN28" s="1161" t="s">
        <v>1274</v>
      </c>
      <c r="AO28" s="1162" t="s">
        <v>1275</v>
      </c>
      <c r="AP28" s="1161" t="s">
        <v>1276</v>
      </c>
      <c r="AQ28" s="1161" t="s">
        <v>1272</v>
      </c>
    </row>
    <row r="29" spans="1:43">
      <c r="A29" s="137" t="s">
        <v>944</v>
      </c>
      <c r="B29" s="136">
        <v>44</v>
      </c>
      <c r="C29" s="136">
        <v>28</v>
      </c>
      <c r="D29" s="136">
        <v>30</v>
      </c>
      <c r="E29" s="136">
        <v>71</v>
      </c>
      <c r="F29" s="136">
        <v>17</v>
      </c>
      <c r="G29" s="136">
        <v>35</v>
      </c>
      <c r="H29" s="136">
        <v>60.5</v>
      </c>
      <c r="I29" s="136">
        <v>48</v>
      </c>
      <c r="J29" s="136">
        <v>100</v>
      </c>
      <c r="K29" s="136">
        <v>18</v>
      </c>
      <c r="L29" s="136">
        <v>21</v>
      </c>
      <c r="M29" s="136">
        <v>9</v>
      </c>
      <c r="N29" s="131">
        <f>AVERAGE(B29:M29)</f>
        <v>40.125</v>
      </c>
      <c r="O29" s="22"/>
      <c r="P29" s="22"/>
      <c r="Q29" s="277"/>
      <c r="R29" s="277"/>
      <c r="T29" s="19"/>
      <c r="AE29" s="95" t="s">
        <v>1277</v>
      </c>
      <c r="AF29" s="1163">
        <f>N32</f>
        <v>233.85626706644999</v>
      </c>
      <c r="AG29" s="584">
        <v>39.14</v>
      </c>
      <c r="AH29" s="1164">
        <f>AG29/AF29</f>
        <v>0.16736776179223975</v>
      </c>
      <c r="AI29" s="584">
        <f>AF29-AG29</f>
        <v>194.71626706644997</v>
      </c>
      <c r="AJ29" s="1165">
        <f>AI29/AF29</f>
        <v>0.83263223820776022</v>
      </c>
      <c r="AL29" s="1397" t="s">
        <v>1277</v>
      </c>
      <c r="AM29" s="1396">
        <v>234</v>
      </c>
      <c r="AN29" s="31">
        <v>18.861999999999998</v>
      </c>
      <c r="AO29" s="1164">
        <f>AN29/AM29</f>
        <v>8.0606837606837595E-2</v>
      </c>
      <c r="AP29" s="1395">
        <f>AM29-AN29</f>
        <v>215.13800000000001</v>
      </c>
      <c r="AQ29" s="1165">
        <f>AP29/AM29</f>
        <v>0.91939316239316238</v>
      </c>
    </row>
    <row r="30" spans="1:43">
      <c r="A30" s="108"/>
      <c r="B30" s="108"/>
      <c r="C30" s="108"/>
      <c r="D30" s="108"/>
      <c r="E30" s="108"/>
      <c r="F30" s="108"/>
      <c r="G30" s="108"/>
      <c r="H30" s="108"/>
      <c r="I30" s="108"/>
      <c r="J30" s="108">
        <v>119</v>
      </c>
      <c r="K30" s="108"/>
      <c r="L30" s="108"/>
      <c r="M30" s="108"/>
      <c r="N30" s="108"/>
      <c r="O30" s="19"/>
      <c r="P30" s="19"/>
      <c r="Q30" s="183"/>
      <c r="R30" s="183"/>
      <c r="S30" s="19"/>
      <c r="T30" s="19"/>
      <c r="AE30" s="95" t="s">
        <v>1278</v>
      </c>
      <c r="AF30" s="1163">
        <f>N33</f>
        <v>1817.7834163923003</v>
      </c>
      <c r="AG30" s="584">
        <v>950.8</v>
      </c>
      <c r="AH30" s="1164">
        <f>AG30/AF30</f>
        <v>0.5230546122414429</v>
      </c>
      <c r="AI30" s="584">
        <f>AF30-AG30</f>
        <v>866.98341639230034</v>
      </c>
      <c r="AJ30" s="1165">
        <f>AI30/AF30</f>
        <v>0.4769453877585571</v>
      </c>
      <c r="AL30" s="1397" t="s">
        <v>1278</v>
      </c>
      <c r="AM30" s="1396">
        <v>1818</v>
      </c>
      <c r="AN30" s="31">
        <v>1126.2</v>
      </c>
      <c r="AO30" s="1164">
        <f>AN30/AM30</f>
        <v>0.61947194719471954</v>
      </c>
      <c r="AP30" s="1395">
        <f>AM30-AN30</f>
        <v>691.8</v>
      </c>
      <c r="AQ30" s="1165">
        <f>AP30/AM30</f>
        <v>0.38052805280528051</v>
      </c>
    </row>
    <row r="31" spans="1:43">
      <c r="A31" s="132" t="s">
        <v>106</v>
      </c>
      <c r="B31" s="130" t="s">
        <v>64</v>
      </c>
      <c r="C31" s="130" t="s">
        <v>65</v>
      </c>
      <c r="D31" s="130" t="s">
        <v>66</v>
      </c>
      <c r="E31" s="130" t="s">
        <v>67</v>
      </c>
      <c r="F31" s="130" t="s">
        <v>68</v>
      </c>
      <c r="G31" s="130" t="s">
        <v>69</v>
      </c>
      <c r="H31" s="130" t="s">
        <v>70</v>
      </c>
      <c r="I31" s="130" t="s">
        <v>71</v>
      </c>
      <c r="J31" s="130" t="s">
        <v>72</v>
      </c>
      <c r="K31" s="130" t="s">
        <v>73</v>
      </c>
      <c r="L31" s="130" t="s">
        <v>74</v>
      </c>
      <c r="M31" s="130" t="s">
        <v>75</v>
      </c>
      <c r="N31" s="130" t="s">
        <v>241</v>
      </c>
      <c r="O31" s="19"/>
      <c r="P31" s="19"/>
      <c r="Q31" s="183"/>
      <c r="R31" s="183"/>
      <c r="S31" s="19"/>
      <c r="T31" s="19"/>
      <c r="AE31" s="95" t="s">
        <v>1279</v>
      </c>
      <c r="AF31" s="1163">
        <f>SUM(AF29:AF30)</f>
        <v>2051.6396834587504</v>
      </c>
      <c r="AG31" s="584">
        <v>990</v>
      </c>
      <c r="AH31" s="1164">
        <f>AG31/AF31</f>
        <v>0.48254087108074045</v>
      </c>
      <c r="AI31" s="584">
        <f>AF31-AG31</f>
        <v>1061.6396834587504</v>
      </c>
      <c r="AJ31" s="1165">
        <f>AI31/AF31</f>
        <v>0.5174591289192596</v>
      </c>
      <c r="AL31" s="1397" t="s">
        <v>1279</v>
      </c>
      <c r="AM31" s="1166">
        <f>SUM(AM29:AM30)</f>
        <v>2052</v>
      </c>
      <c r="AN31" s="31">
        <f>SUM(AN29:AN30)</f>
        <v>1145.0620000000001</v>
      </c>
      <c r="AO31" s="1164">
        <f>AN31/AM31</f>
        <v>0.55802241715399614</v>
      </c>
      <c r="AP31" s="1395">
        <f>AM31-AN31</f>
        <v>906.93799999999987</v>
      </c>
      <c r="AQ31" s="1165">
        <f>AP31/AM31</f>
        <v>0.44197758284600386</v>
      </c>
    </row>
    <row r="32" spans="1:43">
      <c r="A32" s="129" t="s">
        <v>307</v>
      </c>
      <c r="B32" s="136">
        <f>B4*$O$1*B26</f>
        <v>0.3682601538000001</v>
      </c>
      <c r="C32" s="136">
        <f t="shared" ref="C32:M32" si="11">C4*$O$1*C26</f>
        <v>2.2549184784</v>
      </c>
      <c r="D32" s="136">
        <f t="shared" si="11"/>
        <v>12.303236956500001</v>
      </c>
      <c r="E32" s="136">
        <f t="shared" si="11"/>
        <v>133.73999251199999</v>
      </c>
      <c r="F32" s="136">
        <f t="shared" si="11"/>
        <v>2.3434737060000002</v>
      </c>
      <c r="G32" s="136">
        <f t="shared" si="11"/>
        <v>53.068340052000011</v>
      </c>
      <c r="H32" s="136">
        <f t="shared" si="11"/>
        <v>2.9728637870400001</v>
      </c>
      <c r="I32" s="136">
        <f t="shared" si="11"/>
        <v>16.203446767200006</v>
      </c>
      <c r="J32" s="136">
        <f t="shared" si="11"/>
        <v>0.64148542920000007</v>
      </c>
      <c r="K32" s="136">
        <f t="shared" si="11"/>
        <v>1.1533238453100003</v>
      </c>
      <c r="L32" s="136">
        <f t="shared" si="11"/>
        <v>1.9438952400000002</v>
      </c>
      <c r="M32" s="136">
        <f t="shared" si="11"/>
        <v>6.863030139000001</v>
      </c>
      <c r="N32" s="130">
        <f>SUM(B32:M32)</f>
        <v>233.85626706644999</v>
      </c>
      <c r="O32" s="19" t="s">
        <v>848</v>
      </c>
      <c r="P32" s="606">
        <f>N32/N34</f>
        <v>0.11398505739185359</v>
      </c>
      <c r="Q32" s="278"/>
      <c r="R32" s="183"/>
      <c r="S32" s="19"/>
      <c r="T32" s="19"/>
      <c r="AE32" s="95" t="s">
        <v>405</v>
      </c>
      <c r="AF32" s="1166">
        <f>N35</f>
        <v>1262.2861931337002</v>
      </c>
      <c r="AG32" s="91"/>
      <c r="AH32" s="91"/>
      <c r="AI32" s="91"/>
      <c r="AL32" s="1397" t="s">
        <v>405</v>
      </c>
      <c r="AM32" s="1396">
        <v>1262</v>
      </c>
    </row>
    <row r="33" spans="1:39" ht="17.5" customHeight="1">
      <c r="A33" s="129" t="s">
        <v>306</v>
      </c>
      <c r="B33" s="136">
        <f>B5*$O$1*B27</f>
        <v>38.165143211999997</v>
      </c>
      <c r="C33" s="136">
        <f t="shared" ref="C33:M33" si="12">C5*$O$1*C27</f>
        <v>29.595805029000001</v>
      </c>
      <c r="D33" s="136">
        <f t="shared" si="12"/>
        <v>49.547729784000005</v>
      </c>
      <c r="E33" s="136">
        <f t="shared" si="12"/>
        <v>38.165143212000004</v>
      </c>
      <c r="F33" s="136">
        <f t="shared" si="12"/>
        <v>97.923722715000011</v>
      </c>
      <c r="G33" s="136">
        <f t="shared" si="12"/>
        <v>723.29102054999998</v>
      </c>
      <c r="H33" s="136">
        <f t="shared" si="12"/>
        <v>338.3976031464</v>
      </c>
      <c r="I33" s="136">
        <f t="shared" si="12"/>
        <v>159.28925561640003</v>
      </c>
      <c r="J33" s="136">
        <f t="shared" si="12"/>
        <v>146.91798232650001</v>
      </c>
      <c r="K33" s="136">
        <f t="shared" si="12"/>
        <v>50.049902721000009</v>
      </c>
      <c r="L33" s="136">
        <f t="shared" si="12"/>
        <v>25.918603200000007</v>
      </c>
      <c r="M33" s="136">
        <f t="shared" si="12"/>
        <v>120.52150487999999</v>
      </c>
      <c r="N33" s="130">
        <f>SUM(B33:M33)</f>
        <v>1817.7834163923003</v>
      </c>
      <c r="O33" s="19"/>
      <c r="P33" s="19"/>
      <c r="Q33" s="278"/>
      <c r="R33" s="183"/>
      <c r="S33" s="19"/>
      <c r="T33" s="19"/>
      <c r="AE33" s="95" t="s">
        <v>408</v>
      </c>
      <c r="AF33" s="1166">
        <f>N36</f>
        <v>789.35349032504996</v>
      </c>
      <c r="AG33" s="91"/>
      <c r="AH33" s="91"/>
      <c r="AI33" s="91"/>
      <c r="AL33" s="1397" t="s">
        <v>408</v>
      </c>
      <c r="AM33" s="1396">
        <v>789</v>
      </c>
    </row>
    <row r="34" spans="1:39" ht="20" customHeight="1">
      <c r="A34" s="133" t="s">
        <v>83</v>
      </c>
      <c r="B34" s="141">
        <f>SUM(B32:B33)</f>
        <v>38.533403365799998</v>
      </c>
      <c r="C34" s="141">
        <f t="shared" ref="C34:M34" si="13">SUM(C32:C33)</f>
        <v>31.850723507400001</v>
      </c>
      <c r="D34" s="141">
        <f t="shared" si="13"/>
        <v>61.850966740500006</v>
      </c>
      <c r="E34" s="141">
        <f t="shared" si="13"/>
        <v>171.90513572399999</v>
      </c>
      <c r="F34" s="141">
        <f t="shared" si="13"/>
        <v>100.26719642100001</v>
      </c>
      <c r="G34" s="141">
        <f t="shared" si="13"/>
        <v>776.35936060200004</v>
      </c>
      <c r="H34" s="141">
        <f t="shared" si="13"/>
        <v>341.37046693344001</v>
      </c>
      <c r="I34" s="141">
        <f t="shared" si="13"/>
        <v>175.49270238360003</v>
      </c>
      <c r="J34" s="141">
        <f>SUM(J32:J33)</f>
        <v>147.55946775570001</v>
      </c>
      <c r="K34" s="141">
        <f t="shared" si="13"/>
        <v>51.203226566310008</v>
      </c>
      <c r="L34" s="141">
        <f t="shared" si="13"/>
        <v>27.862498440000007</v>
      </c>
      <c r="M34" s="141">
        <f t="shared" si="13"/>
        <v>127.384535019</v>
      </c>
      <c r="N34" s="130">
        <f>SUM(N32:N33)</f>
        <v>2051.6396834587504</v>
      </c>
      <c r="O34" s="19" t="s">
        <v>1390</v>
      </c>
      <c r="P34" s="19">
        <f>H34+G34</f>
        <v>1117.7298275354401</v>
      </c>
      <c r="Q34" s="278"/>
      <c r="R34" s="183"/>
      <c r="S34" s="19"/>
      <c r="T34" s="19"/>
      <c r="AE34" s="1167" t="s">
        <v>944</v>
      </c>
      <c r="AF34" s="1149">
        <f>N37</f>
        <v>2217.7668605673002</v>
      </c>
      <c r="AG34" s="91"/>
      <c r="AH34" s="91"/>
      <c r="AI34" s="91"/>
      <c r="AL34" s="1167" t="s">
        <v>944</v>
      </c>
      <c r="AM34" s="1396">
        <v>2218</v>
      </c>
    </row>
    <row r="35" spans="1:39" ht="23">
      <c r="A35" s="137" t="s">
        <v>405</v>
      </c>
      <c r="B35" s="136">
        <f>B7*$O$1*B28</f>
        <v>22.296478402800002</v>
      </c>
      <c r="C35" s="136">
        <f t="shared" ref="C35:M35" si="14">C7*$O$1*C28</f>
        <v>39.742938181800007</v>
      </c>
      <c r="D35" s="136">
        <f t="shared" si="14"/>
        <v>70.605514942200017</v>
      </c>
      <c r="E35" s="136">
        <f t="shared" si="14"/>
        <v>138.11375680200001</v>
      </c>
      <c r="F35" s="136">
        <f t="shared" si="14"/>
        <v>126.54758012400002</v>
      </c>
      <c r="G35" s="136">
        <f t="shared" si="14"/>
        <v>379.05957180000001</v>
      </c>
      <c r="H35" s="136">
        <f t="shared" si="14"/>
        <v>251.88994519920001</v>
      </c>
      <c r="I35" s="136">
        <f t="shared" si="14"/>
        <v>161.64946842030002</v>
      </c>
      <c r="J35" s="136">
        <f t="shared" si="14"/>
        <v>21.868821449999999</v>
      </c>
      <c r="K35" s="136">
        <f t="shared" si="14"/>
        <v>26.514731073600004</v>
      </c>
      <c r="L35" s="136">
        <f t="shared" si="14"/>
        <v>12.246540012000001</v>
      </c>
      <c r="M35" s="136">
        <f t="shared" si="14"/>
        <v>11.750846725800002</v>
      </c>
      <c r="N35" s="138">
        <f>SUM(B35:M35)</f>
        <v>1262.2861931337002</v>
      </c>
      <c r="O35" s="19"/>
      <c r="P35" s="606">
        <f>P34/N34</f>
        <v>0.54479830768876469</v>
      </c>
      <c r="Q35" s="278"/>
      <c r="R35" s="183"/>
      <c r="S35" s="19"/>
      <c r="T35" s="19"/>
      <c r="AE35" s="1168" t="s">
        <v>1280</v>
      </c>
      <c r="AF35" s="1169">
        <f>1-AF32/AF34</f>
        <v>0.43083007705741894</v>
      </c>
      <c r="AG35" s="31">
        <f>AF34-AF32</f>
        <v>955.48066743360005</v>
      </c>
      <c r="AL35" s="1168" t="s">
        <v>1280</v>
      </c>
      <c r="AM35" s="1156">
        <f>1-AM32/AM34</f>
        <v>0.43101893597835883</v>
      </c>
    </row>
    <row r="36" spans="1:39">
      <c r="A36" s="137" t="s">
        <v>408</v>
      </c>
      <c r="B36" s="124">
        <f>B34-B35</f>
        <v>16.236924962999996</v>
      </c>
      <c r="C36" s="124">
        <f t="shared" ref="C36:M36" si="15">C34-C35</f>
        <v>-7.8922146744000052</v>
      </c>
      <c r="D36" s="124">
        <f t="shared" si="15"/>
        <v>-8.7545482017000111</v>
      </c>
      <c r="E36" s="124">
        <f t="shared" si="15"/>
        <v>33.791378921999979</v>
      </c>
      <c r="F36" s="124">
        <f t="shared" si="15"/>
        <v>-26.280383703000012</v>
      </c>
      <c r="G36" s="124">
        <f t="shared" si="15"/>
        <v>397.29978880200002</v>
      </c>
      <c r="H36" s="124">
        <f t="shared" si="15"/>
        <v>89.48052173424</v>
      </c>
      <c r="I36" s="124">
        <f t="shared" si="15"/>
        <v>13.843233963300008</v>
      </c>
      <c r="J36" s="124">
        <f t="shared" si="15"/>
        <v>125.69064630570001</v>
      </c>
      <c r="K36" s="124">
        <f t="shared" si="15"/>
        <v>24.688495492710004</v>
      </c>
      <c r="L36" s="124">
        <f t="shared" si="15"/>
        <v>15.615958428000006</v>
      </c>
      <c r="M36" s="124">
        <f t="shared" si="15"/>
        <v>115.6336882932</v>
      </c>
      <c r="N36" s="138">
        <f>SUM(B36:M36)</f>
        <v>789.35349032504996</v>
      </c>
      <c r="O36" s="19"/>
      <c r="P36" s="19"/>
      <c r="Q36" s="278"/>
      <c r="R36" s="183"/>
      <c r="S36" s="19"/>
      <c r="T36" s="19"/>
    </row>
    <row r="37" spans="1:39">
      <c r="A37" s="137" t="s">
        <v>944</v>
      </c>
      <c r="B37" s="136">
        <f>B9*$O$1*B29</f>
        <v>71.442469837200008</v>
      </c>
      <c r="C37" s="136">
        <f t="shared" ref="C37:M37" si="16">C9*$O$1*C29</f>
        <v>54.368589979200003</v>
      </c>
      <c r="D37" s="136">
        <f t="shared" si="16"/>
        <v>99.430241526000017</v>
      </c>
      <c r="E37" s="136">
        <f t="shared" si="16"/>
        <v>272.582710029</v>
      </c>
      <c r="F37" s="136">
        <f t="shared" si="16"/>
        <v>81.95462331840001</v>
      </c>
      <c r="G37" s="136">
        <f t="shared" si="16"/>
        <v>595.31791725000005</v>
      </c>
      <c r="H37" s="136">
        <f t="shared" si="16"/>
        <v>573.19692938970002</v>
      </c>
      <c r="I37" s="136">
        <f t="shared" si="16"/>
        <v>231.40128936960002</v>
      </c>
      <c r="J37" s="136">
        <f t="shared" si="16"/>
        <v>149.03196840000001</v>
      </c>
      <c r="K37" s="136">
        <f t="shared" si="16"/>
        <v>42.785134232399997</v>
      </c>
      <c r="L37" s="136">
        <f t="shared" si="16"/>
        <v>32.997621699</v>
      </c>
      <c r="M37" s="136">
        <f t="shared" si="16"/>
        <v>13.257365536800004</v>
      </c>
      <c r="N37" s="138">
        <f>SUM(B37:M37)</f>
        <v>2217.7668605673002</v>
      </c>
      <c r="O37" s="19"/>
      <c r="P37" s="19"/>
      <c r="Q37" s="278"/>
      <c r="R37" s="183"/>
      <c r="S37" s="19"/>
      <c r="T37" s="19"/>
    </row>
    <row r="38" spans="1:39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35"/>
      <c r="O38" s="19"/>
      <c r="P38" s="19"/>
      <c r="Q38" s="183"/>
      <c r="R38" s="183"/>
      <c r="S38" s="19"/>
      <c r="T38" s="19"/>
    </row>
    <row r="39" spans="1:39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43"/>
      <c r="R39" s="280"/>
      <c r="S39" s="19"/>
      <c r="T39" s="19"/>
    </row>
    <row r="40" spans="1:39"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34"/>
      <c r="R40" s="280"/>
      <c r="S40" s="19"/>
      <c r="T40" s="19"/>
    </row>
    <row r="41" spans="1:39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43"/>
      <c r="R41" s="280"/>
      <c r="S41" s="19"/>
      <c r="T41" s="19"/>
    </row>
    <row r="42" spans="1:39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43"/>
      <c r="R42" s="280"/>
      <c r="S42" s="19"/>
      <c r="T42" s="19"/>
    </row>
    <row r="43" spans="1:39"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</row>
    <row r="44" spans="1:39"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279"/>
      <c r="R44" s="280"/>
      <c r="S44" s="19"/>
      <c r="T44" s="19"/>
    </row>
    <row r="45" spans="1:39"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43"/>
      <c r="R45" s="280"/>
      <c r="S45" s="19"/>
      <c r="T45" s="19"/>
    </row>
    <row r="46" spans="1:39"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43"/>
      <c r="R46" s="280"/>
      <c r="S46" s="19"/>
      <c r="T46" s="19"/>
    </row>
    <row r="47" spans="1:39"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34"/>
      <c r="R47" s="280"/>
      <c r="S47" s="19"/>
      <c r="T47" s="19"/>
    </row>
    <row r="48" spans="1:39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43"/>
      <c r="R48" s="280"/>
      <c r="S48" s="19"/>
      <c r="T48" s="19"/>
    </row>
    <row r="49" spans="2:20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43"/>
      <c r="R49" s="280"/>
      <c r="S49" s="19"/>
      <c r="T49" s="19"/>
    </row>
    <row r="50" spans="2:20"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</row>
    <row r="51" spans="2:20"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</row>
    <row r="52" spans="2:20"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</row>
    <row r="53" spans="2:20"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</row>
    <row r="54" spans="2:20"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</row>
    <row r="55" spans="2:20"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</row>
  </sheetData>
  <mergeCells count="5">
    <mergeCell ref="A1:N1"/>
    <mergeCell ref="B2:M2"/>
    <mergeCell ref="AE2:AJ2"/>
    <mergeCell ref="AF27:AJ27"/>
    <mergeCell ref="AM27:AQ27"/>
  </mergeCells>
  <phoneticPr fontId="11" type="noConversion"/>
  <pageMargins left="0.75" right="0.75" top="1" bottom="1" header="0.5" footer="0.5"/>
  <pageSetup orientation="landscape" horizontalDpi="4294967294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T65"/>
  <sheetViews>
    <sheetView topLeftCell="AD28" zoomScale="96" zoomScaleNormal="96" workbookViewId="0">
      <selection activeCell="AS31" sqref="AS31"/>
    </sheetView>
  </sheetViews>
  <sheetFormatPr defaultColWidth="5.7265625" defaultRowHeight="14"/>
  <cols>
    <col min="1" max="1" width="8.26953125" customWidth="1"/>
    <col min="34" max="34" width="13.453125" customWidth="1"/>
    <col min="35" max="35" width="7.08984375" bestFit="1" customWidth="1"/>
    <col min="36" max="42" width="6.54296875" bestFit="1" customWidth="1"/>
  </cols>
  <sheetData>
    <row r="1" spans="1:42">
      <c r="A1" s="2253" t="s">
        <v>35</v>
      </c>
      <c r="B1" s="2253"/>
      <c r="C1" s="2253"/>
      <c r="D1" s="2253"/>
      <c r="E1" s="2253"/>
      <c r="F1" s="2253"/>
      <c r="G1" s="2253"/>
      <c r="H1" s="2253"/>
      <c r="I1" s="2253"/>
      <c r="J1" s="2253"/>
      <c r="K1" s="2253"/>
      <c r="L1" s="2253"/>
      <c r="M1" s="2253"/>
      <c r="N1" s="2253"/>
    </row>
    <row r="2" spans="1:42">
      <c r="B2" s="156">
        <v>1988</v>
      </c>
      <c r="C2" s="156">
        <v>1991</v>
      </c>
      <c r="D2" s="156">
        <v>1992</v>
      </c>
      <c r="E2" s="156">
        <v>1993</v>
      </c>
      <c r="F2" s="156">
        <v>1994</v>
      </c>
      <c r="G2" s="156">
        <v>1995</v>
      </c>
      <c r="H2" s="156">
        <v>1996</v>
      </c>
      <c r="I2" s="156">
        <v>1997</v>
      </c>
      <c r="J2" s="156">
        <v>1998</v>
      </c>
      <c r="K2" s="156">
        <v>1999</v>
      </c>
      <c r="L2" s="156">
        <v>2000</v>
      </c>
      <c r="M2" s="156">
        <v>2001</v>
      </c>
      <c r="N2" s="156">
        <v>2002</v>
      </c>
      <c r="O2" s="156">
        <v>2003</v>
      </c>
      <c r="P2" s="156">
        <v>2004</v>
      </c>
      <c r="Q2" s="156">
        <v>2005</v>
      </c>
      <c r="R2" s="156">
        <v>2006</v>
      </c>
      <c r="S2" s="156">
        <v>2007</v>
      </c>
      <c r="T2" s="156">
        <v>2008</v>
      </c>
      <c r="U2" s="156">
        <v>2009</v>
      </c>
      <c r="V2" s="156">
        <v>2010</v>
      </c>
      <c r="W2" s="156">
        <v>2011</v>
      </c>
      <c r="X2" s="156">
        <v>2012</v>
      </c>
      <c r="Y2" s="156">
        <v>2013</v>
      </c>
      <c r="Z2" s="156">
        <v>2014</v>
      </c>
      <c r="AA2" s="156">
        <v>2015</v>
      </c>
      <c r="AB2" s="263">
        <v>2016</v>
      </c>
      <c r="AC2" s="263">
        <v>2017</v>
      </c>
      <c r="AD2" s="263">
        <v>2018</v>
      </c>
      <c r="AE2" s="263">
        <v>2019</v>
      </c>
    </row>
    <row r="3" spans="1:42">
      <c r="A3" s="23" t="s">
        <v>27</v>
      </c>
      <c r="B3">
        <v>166</v>
      </c>
      <c r="C3">
        <v>184.16</v>
      </c>
      <c r="D3">
        <v>162.26</v>
      </c>
      <c r="E3">
        <v>167.91</v>
      </c>
      <c r="F3">
        <v>87.03</v>
      </c>
      <c r="G3">
        <v>40.909999999999997</v>
      </c>
      <c r="H3" s="5">
        <v>29.44</v>
      </c>
      <c r="I3" s="5">
        <v>37.700000000000003</v>
      </c>
      <c r="J3">
        <v>36.6</v>
      </c>
      <c r="K3">
        <v>41.6</v>
      </c>
      <c r="L3">
        <v>60</v>
      </c>
      <c r="M3">
        <v>49.8</v>
      </c>
      <c r="N3">
        <v>50.2</v>
      </c>
      <c r="O3">
        <v>49.5</v>
      </c>
      <c r="P3">
        <v>31.9</v>
      </c>
      <c r="Q3">
        <v>39.200000000000003</v>
      </c>
      <c r="R3">
        <v>24</v>
      </c>
      <c r="S3">
        <v>30.7</v>
      </c>
      <c r="T3">
        <v>50.6</v>
      </c>
      <c r="U3">
        <v>34.799999999999997</v>
      </c>
      <c r="V3">
        <v>33.6</v>
      </c>
      <c r="W3">
        <v>40.799999999999997</v>
      </c>
      <c r="X3">
        <v>61.6</v>
      </c>
      <c r="Y3">
        <v>65.599999999999994</v>
      </c>
      <c r="Z3">
        <v>30.5</v>
      </c>
      <c r="AA3">
        <v>55.5</v>
      </c>
      <c r="AB3">
        <v>63.1</v>
      </c>
      <c r="AC3">
        <v>45</v>
      </c>
      <c r="AD3">
        <v>44.6</v>
      </c>
      <c r="AE3">
        <v>65.099999999999994</v>
      </c>
    </row>
    <row r="4" spans="1:42">
      <c r="A4" s="23" t="s">
        <v>28</v>
      </c>
      <c r="B4" s="5">
        <v>255.14285714285714</v>
      </c>
      <c r="C4">
        <v>349.27</v>
      </c>
      <c r="D4">
        <v>266.27</v>
      </c>
      <c r="E4">
        <v>442.5</v>
      </c>
      <c r="F4">
        <v>348.74</v>
      </c>
      <c r="G4">
        <v>492.7</v>
      </c>
      <c r="H4" s="5">
        <v>577.75</v>
      </c>
      <c r="I4" s="5">
        <v>393</v>
      </c>
      <c r="J4">
        <v>358</v>
      </c>
      <c r="K4">
        <v>402</v>
      </c>
      <c r="L4">
        <v>441</v>
      </c>
      <c r="M4">
        <v>387</v>
      </c>
      <c r="N4">
        <v>282</v>
      </c>
      <c r="O4">
        <v>266</v>
      </c>
      <c r="P4">
        <v>247</v>
      </c>
      <c r="Q4">
        <v>207</v>
      </c>
      <c r="R4">
        <v>153</v>
      </c>
      <c r="S4">
        <v>229</v>
      </c>
      <c r="T4">
        <v>232</v>
      </c>
      <c r="U4">
        <v>267</v>
      </c>
      <c r="V4">
        <v>254</v>
      </c>
      <c r="W4">
        <v>172</v>
      </c>
      <c r="X4">
        <v>134</v>
      </c>
      <c r="Y4">
        <v>153</v>
      </c>
      <c r="Z4">
        <v>291</v>
      </c>
      <c r="AA4">
        <v>352</v>
      </c>
      <c r="AB4">
        <v>784</v>
      </c>
      <c r="AC4">
        <v>771</v>
      </c>
      <c r="AD4">
        <v>810</v>
      </c>
      <c r="AE4">
        <v>872</v>
      </c>
    </row>
    <row r="5" spans="1:42">
      <c r="A5" s="23" t="s">
        <v>29</v>
      </c>
      <c r="B5" s="5">
        <v>7.4714285714285706</v>
      </c>
      <c r="C5">
        <v>21.22</v>
      </c>
      <c r="D5">
        <v>19.010000000000002</v>
      </c>
      <c r="E5">
        <v>8.9</v>
      </c>
      <c r="F5">
        <v>20.43</v>
      </c>
      <c r="G5">
        <v>5.09</v>
      </c>
      <c r="H5" s="5">
        <v>17.100000000000001</v>
      </c>
      <c r="I5" s="5">
        <v>8.1999999999999993</v>
      </c>
      <c r="J5">
        <v>4.3</v>
      </c>
      <c r="K5">
        <v>5.8</v>
      </c>
      <c r="L5">
        <v>14.1</v>
      </c>
      <c r="M5">
        <v>24.6</v>
      </c>
      <c r="N5">
        <v>15.4</v>
      </c>
      <c r="O5">
        <v>14.8</v>
      </c>
      <c r="P5">
        <v>6.6</v>
      </c>
      <c r="Q5">
        <v>15.5</v>
      </c>
      <c r="R5">
        <v>9.1</v>
      </c>
      <c r="S5">
        <v>9.3000000000000007</v>
      </c>
      <c r="T5">
        <v>17.3</v>
      </c>
      <c r="U5">
        <v>12.5</v>
      </c>
      <c r="V5">
        <v>10.6</v>
      </c>
      <c r="W5">
        <v>10.8</v>
      </c>
      <c r="X5">
        <v>14.9</v>
      </c>
      <c r="Y5">
        <v>14.6</v>
      </c>
      <c r="Z5">
        <v>5.3</v>
      </c>
      <c r="AA5">
        <v>13.2</v>
      </c>
      <c r="AB5">
        <v>10.1</v>
      </c>
      <c r="AC5">
        <v>12.8</v>
      </c>
      <c r="AD5">
        <v>16.399999999999999</v>
      </c>
      <c r="AE5">
        <v>14.8</v>
      </c>
    </row>
    <row r="6" spans="1:42">
      <c r="A6" s="23" t="s">
        <v>30</v>
      </c>
      <c r="B6">
        <v>14</v>
      </c>
      <c r="C6">
        <v>69.67</v>
      </c>
      <c r="D6">
        <v>65.67</v>
      </c>
      <c r="E6">
        <v>32</v>
      </c>
      <c r="F6">
        <v>69.5</v>
      </c>
      <c r="G6">
        <v>36.85</v>
      </c>
      <c r="H6" s="5">
        <v>97.3</v>
      </c>
      <c r="I6" s="5">
        <v>31.7</v>
      </c>
      <c r="J6">
        <v>41.3</v>
      </c>
      <c r="K6">
        <v>36.700000000000003</v>
      </c>
      <c r="L6">
        <v>104.9</v>
      </c>
      <c r="M6">
        <v>69.7</v>
      </c>
      <c r="N6">
        <v>43.7</v>
      </c>
      <c r="O6">
        <v>37.700000000000003</v>
      </c>
      <c r="P6">
        <v>15.2</v>
      </c>
      <c r="Q6">
        <v>75.5</v>
      </c>
      <c r="R6">
        <v>28.7</v>
      </c>
      <c r="S6">
        <v>50.8</v>
      </c>
      <c r="T6">
        <v>73.900000000000006</v>
      </c>
      <c r="U6">
        <v>80.400000000000006</v>
      </c>
      <c r="V6">
        <v>24.1</v>
      </c>
      <c r="W6">
        <v>17.399999999999999</v>
      </c>
      <c r="X6">
        <v>52.9</v>
      </c>
      <c r="Y6">
        <v>54.3</v>
      </c>
      <c r="Z6">
        <v>18.3</v>
      </c>
      <c r="AA6">
        <v>45.7</v>
      </c>
      <c r="AB6">
        <v>23.9</v>
      </c>
      <c r="AC6">
        <v>44.2</v>
      </c>
      <c r="AD6">
        <v>44.5</v>
      </c>
      <c r="AE6">
        <v>31</v>
      </c>
    </row>
    <row r="7" spans="1:42">
      <c r="A7" s="23" t="s">
        <v>25</v>
      </c>
      <c r="B7">
        <v>1.625</v>
      </c>
      <c r="C7">
        <v>2.17</v>
      </c>
      <c r="D7">
        <v>2.1</v>
      </c>
      <c r="E7">
        <v>2.84</v>
      </c>
      <c r="F7">
        <v>1.79</v>
      </c>
      <c r="G7">
        <v>2.14</v>
      </c>
      <c r="H7" s="5">
        <v>2.5125000000000002</v>
      </c>
      <c r="I7" s="2">
        <v>1.7</v>
      </c>
      <c r="J7" s="2">
        <v>1.8</v>
      </c>
      <c r="K7" s="2">
        <v>1.8</v>
      </c>
      <c r="L7" s="2">
        <v>2.4</v>
      </c>
      <c r="M7" s="2">
        <v>2.2999999999999998</v>
      </c>
      <c r="N7" s="2">
        <v>3</v>
      </c>
      <c r="O7" s="2">
        <v>1.7</v>
      </c>
      <c r="P7" s="2">
        <v>2.6</v>
      </c>
      <c r="Q7" s="2">
        <v>2.1</v>
      </c>
      <c r="R7" s="2">
        <v>2.4</v>
      </c>
      <c r="S7" s="2">
        <v>1.7</v>
      </c>
      <c r="T7" s="2">
        <v>2.4</v>
      </c>
      <c r="U7" s="2">
        <v>2.7</v>
      </c>
      <c r="V7" s="2">
        <v>1.7</v>
      </c>
      <c r="W7" s="2">
        <v>2.2000000000000002</v>
      </c>
      <c r="X7" s="2">
        <v>2.21</v>
      </c>
      <c r="Y7" s="2">
        <v>1.86</v>
      </c>
      <c r="Z7" s="2">
        <v>1.98</v>
      </c>
      <c r="AA7" s="2">
        <v>1.17</v>
      </c>
      <c r="AB7" s="2">
        <v>1.2</v>
      </c>
      <c r="AC7" s="2">
        <v>2.17</v>
      </c>
      <c r="AD7" s="2">
        <v>1.59</v>
      </c>
      <c r="AE7" s="2">
        <v>1.44</v>
      </c>
    </row>
    <row r="10" spans="1:42">
      <c r="A10" s="2253" t="s">
        <v>31</v>
      </c>
      <c r="B10" s="2253"/>
      <c r="C10" s="2253"/>
      <c r="D10" s="2253"/>
      <c r="E10" s="2253"/>
      <c r="F10" s="2253"/>
      <c r="G10" s="2253"/>
      <c r="H10" s="2253"/>
      <c r="I10" s="2253"/>
      <c r="J10" s="2253"/>
      <c r="K10" s="2253"/>
      <c r="L10" s="2253"/>
      <c r="M10" s="2253"/>
      <c r="N10" s="2253"/>
      <c r="AF10" s="262"/>
    </row>
    <row r="11" spans="1:42">
      <c r="C11" s="156">
        <v>1991</v>
      </c>
      <c r="D11" s="156">
        <v>1992</v>
      </c>
      <c r="E11" s="156">
        <v>1993</v>
      </c>
      <c r="F11" s="156">
        <v>1994</v>
      </c>
      <c r="G11" s="156">
        <v>1995</v>
      </c>
      <c r="H11" s="156">
        <v>1996</v>
      </c>
      <c r="I11" s="156">
        <v>1997</v>
      </c>
      <c r="J11" s="156">
        <v>1998</v>
      </c>
      <c r="K11" s="156">
        <v>1999</v>
      </c>
      <c r="L11" s="156">
        <v>2000</v>
      </c>
      <c r="M11" s="156">
        <v>2001</v>
      </c>
      <c r="N11" s="156">
        <v>2002</v>
      </c>
      <c r="O11" s="156">
        <v>2003</v>
      </c>
      <c r="P11" s="156">
        <v>2004</v>
      </c>
      <c r="Q11" s="156">
        <v>2005</v>
      </c>
      <c r="R11" s="156">
        <v>2006</v>
      </c>
      <c r="S11" s="156">
        <v>2007</v>
      </c>
      <c r="T11" s="156">
        <v>2008</v>
      </c>
      <c r="U11" s="156">
        <v>2009</v>
      </c>
      <c r="V11" s="156">
        <v>2010</v>
      </c>
      <c r="W11" s="156">
        <v>2011</v>
      </c>
      <c r="X11" s="156">
        <v>2012</v>
      </c>
      <c r="Y11" s="156">
        <v>2013</v>
      </c>
      <c r="Z11" s="156">
        <v>2014</v>
      </c>
      <c r="AA11" s="156">
        <v>2015</v>
      </c>
      <c r="AB11" s="263">
        <v>2016</v>
      </c>
      <c r="AC11" s="263">
        <v>2017</v>
      </c>
      <c r="AD11" s="263">
        <v>2018</v>
      </c>
      <c r="AE11" s="263">
        <v>2019</v>
      </c>
      <c r="AF11" s="37"/>
      <c r="AH11" s="1969"/>
      <c r="AI11" s="1215">
        <v>2012</v>
      </c>
      <c r="AJ11" s="1215">
        <v>2013</v>
      </c>
      <c r="AK11" s="1215">
        <v>2014</v>
      </c>
      <c r="AL11" s="1215">
        <v>2015</v>
      </c>
      <c r="AM11" s="1215">
        <v>2016</v>
      </c>
      <c r="AN11" s="1215">
        <v>2017</v>
      </c>
      <c r="AO11" s="1215">
        <v>2018</v>
      </c>
      <c r="AP11" s="1215">
        <v>2019</v>
      </c>
    </row>
    <row r="12" spans="1:42">
      <c r="A12" s="23" t="s">
        <v>27</v>
      </c>
      <c r="C12">
        <v>191.83</v>
      </c>
      <c r="D12">
        <v>181.66</v>
      </c>
      <c r="E12">
        <v>206.9</v>
      </c>
      <c r="F12">
        <v>92.27</v>
      </c>
      <c r="G12">
        <v>58.4</v>
      </c>
      <c r="H12">
        <v>30.9</v>
      </c>
      <c r="I12">
        <v>39</v>
      </c>
      <c r="J12" s="5">
        <v>35</v>
      </c>
      <c r="K12" s="5">
        <v>46.4</v>
      </c>
      <c r="L12">
        <v>42.4</v>
      </c>
      <c r="M12">
        <v>62.2</v>
      </c>
      <c r="N12">
        <v>51</v>
      </c>
      <c r="O12">
        <v>62.4</v>
      </c>
      <c r="P12">
        <v>40.299999999999997</v>
      </c>
      <c r="Q12">
        <v>45.8</v>
      </c>
      <c r="R12">
        <v>25.5</v>
      </c>
      <c r="S12">
        <v>28.6</v>
      </c>
      <c r="T12">
        <v>61.4</v>
      </c>
      <c r="U12">
        <v>49.1</v>
      </c>
      <c r="V12">
        <v>38.799999999999997</v>
      </c>
      <c r="W12">
        <v>55.2</v>
      </c>
      <c r="X12">
        <v>97.2</v>
      </c>
      <c r="Y12">
        <v>111.7</v>
      </c>
      <c r="Z12">
        <v>44.7</v>
      </c>
      <c r="AA12">
        <v>87.8</v>
      </c>
      <c r="AB12">
        <v>95.1</v>
      </c>
      <c r="AC12">
        <v>62</v>
      </c>
      <c r="AD12">
        <v>61.8</v>
      </c>
      <c r="AE12">
        <v>89.6</v>
      </c>
      <c r="AF12" s="37"/>
      <c r="AH12" s="75" t="s">
        <v>27</v>
      </c>
      <c r="AI12" s="1973">
        <v>37</v>
      </c>
      <c r="AJ12" s="1973">
        <v>19</v>
      </c>
      <c r="AK12" s="1973">
        <v>19.5</v>
      </c>
      <c r="AL12" s="1973">
        <v>22</v>
      </c>
      <c r="AM12" s="1973">
        <v>32</v>
      </c>
      <c r="AN12" s="1973">
        <v>27</v>
      </c>
      <c r="AO12" s="1973">
        <v>30.5</v>
      </c>
      <c r="AP12" s="1973">
        <v>25</v>
      </c>
    </row>
    <row r="13" spans="1:42">
      <c r="A13" s="23" t="s">
        <v>28</v>
      </c>
      <c r="C13">
        <v>234.14</v>
      </c>
      <c r="D13">
        <v>133.19999999999999</v>
      </c>
      <c r="E13">
        <v>198.57</v>
      </c>
      <c r="F13">
        <v>156.69999999999999</v>
      </c>
      <c r="G13">
        <v>284.52999999999997</v>
      </c>
      <c r="H13">
        <v>340.4</v>
      </c>
      <c r="I13">
        <v>302.89999999999998</v>
      </c>
      <c r="J13">
        <v>228</v>
      </c>
      <c r="K13">
        <v>201</v>
      </c>
      <c r="L13">
        <v>347</v>
      </c>
      <c r="M13">
        <v>208</v>
      </c>
      <c r="N13">
        <v>171</v>
      </c>
      <c r="O13">
        <v>121</v>
      </c>
      <c r="P13">
        <v>175</v>
      </c>
      <c r="Q13">
        <v>150</v>
      </c>
      <c r="R13">
        <v>102</v>
      </c>
      <c r="S13">
        <v>145</v>
      </c>
      <c r="T13">
        <v>79</v>
      </c>
      <c r="U13">
        <v>180</v>
      </c>
      <c r="V13">
        <v>112</v>
      </c>
      <c r="W13">
        <v>111</v>
      </c>
      <c r="X13">
        <v>32</v>
      </c>
      <c r="Y13">
        <v>103</v>
      </c>
      <c r="Z13">
        <v>172</v>
      </c>
      <c r="AA13">
        <v>148</v>
      </c>
      <c r="AB13">
        <v>670</v>
      </c>
      <c r="AC13">
        <v>669</v>
      </c>
      <c r="AD13">
        <v>725</v>
      </c>
      <c r="AE13">
        <v>918</v>
      </c>
      <c r="AF13" s="37"/>
      <c r="AH13" s="75" t="s">
        <v>28</v>
      </c>
      <c r="AI13" s="2187">
        <v>325</v>
      </c>
      <c r="AJ13" s="1973">
        <v>342</v>
      </c>
      <c r="AK13" s="1973">
        <v>273</v>
      </c>
      <c r="AL13" s="1973">
        <v>352</v>
      </c>
      <c r="AM13" s="1973">
        <v>345</v>
      </c>
      <c r="AN13" s="1973">
        <v>271</v>
      </c>
      <c r="AO13" s="1973">
        <v>319</v>
      </c>
      <c r="AP13" s="1973">
        <v>254</v>
      </c>
    </row>
    <row r="14" spans="1:42">
      <c r="A14" s="23" t="s">
        <v>29</v>
      </c>
      <c r="C14">
        <v>3.99</v>
      </c>
      <c r="D14">
        <v>11.78</v>
      </c>
      <c r="E14">
        <v>14.4</v>
      </c>
      <c r="F14">
        <v>26.4</v>
      </c>
      <c r="G14">
        <v>10.96</v>
      </c>
      <c r="H14">
        <v>23.81</v>
      </c>
      <c r="I14">
        <v>6</v>
      </c>
      <c r="J14">
        <v>2.7</v>
      </c>
      <c r="K14">
        <v>3.1</v>
      </c>
      <c r="L14">
        <v>14.6</v>
      </c>
      <c r="M14">
        <v>23.5</v>
      </c>
      <c r="N14">
        <v>20.3</v>
      </c>
      <c r="O14">
        <v>18.5</v>
      </c>
      <c r="P14">
        <v>8.5</v>
      </c>
      <c r="Q14">
        <v>15.4</v>
      </c>
      <c r="R14">
        <v>13.2</v>
      </c>
      <c r="S14">
        <v>6.5</v>
      </c>
      <c r="T14">
        <v>25.8</v>
      </c>
      <c r="U14">
        <v>23.3</v>
      </c>
      <c r="V14">
        <v>15.2</v>
      </c>
      <c r="W14">
        <v>9</v>
      </c>
      <c r="X14">
        <v>25.1</v>
      </c>
      <c r="Y14">
        <v>26.4</v>
      </c>
      <c r="Z14">
        <v>8.3000000000000007</v>
      </c>
      <c r="AA14">
        <v>20.9</v>
      </c>
      <c r="AB14">
        <v>14.6</v>
      </c>
      <c r="AC14">
        <v>22.5</v>
      </c>
      <c r="AD14">
        <v>14.6</v>
      </c>
      <c r="AE14">
        <v>13.9</v>
      </c>
      <c r="AF14" s="37"/>
      <c r="AH14" s="75" t="s">
        <v>29</v>
      </c>
      <c r="AI14" s="1973"/>
      <c r="AJ14" s="1973">
        <v>6</v>
      </c>
      <c r="AK14" s="1973">
        <v>4</v>
      </c>
      <c r="AL14" s="1973">
        <v>2.6</v>
      </c>
      <c r="AM14" s="1973">
        <v>6.7</v>
      </c>
      <c r="AN14" s="1973">
        <v>3</v>
      </c>
      <c r="AO14" s="1973">
        <v>9.1999999999999993</v>
      </c>
      <c r="AP14" s="1973">
        <v>4</v>
      </c>
    </row>
    <row r="15" spans="1:42">
      <c r="A15" s="23" t="s">
        <v>30</v>
      </c>
      <c r="C15">
        <v>6.25</v>
      </c>
      <c r="D15">
        <v>26.18</v>
      </c>
      <c r="E15">
        <v>32</v>
      </c>
      <c r="F15">
        <v>69.5</v>
      </c>
      <c r="G15">
        <v>36.85</v>
      </c>
      <c r="H15">
        <v>91.4</v>
      </c>
      <c r="I15">
        <v>16.399999999999999</v>
      </c>
      <c r="J15">
        <v>5.8</v>
      </c>
      <c r="K15">
        <v>7.7</v>
      </c>
      <c r="L15">
        <v>95.9</v>
      </c>
      <c r="M15">
        <v>69.7</v>
      </c>
      <c r="N15">
        <v>43.7</v>
      </c>
      <c r="O15">
        <v>37.700000000000003</v>
      </c>
      <c r="P15">
        <v>15.2</v>
      </c>
      <c r="Q15">
        <v>75.5</v>
      </c>
      <c r="R15">
        <v>28.7</v>
      </c>
      <c r="S15">
        <v>20.7</v>
      </c>
      <c r="T15">
        <v>73.900000000000006</v>
      </c>
      <c r="U15">
        <v>80.400000000000006</v>
      </c>
      <c r="V15">
        <v>22.8</v>
      </c>
      <c r="W15">
        <v>17.399999999999999</v>
      </c>
      <c r="X15">
        <v>52.9</v>
      </c>
      <c r="Y15">
        <v>54.3</v>
      </c>
      <c r="Z15">
        <v>18.3</v>
      </c>
      <c r="AA15">
        <v>45.7</v>
      </c>
      <c r="AB15">
        <v>23.9</v>
      </c>
      <c r="AC15">
        <v>44.2</v>
      </c>
      <c r="AD15">
        <v>20.2</v>
      </c>
      <c r="AE15">
        <v>31</v>
      </c>
      <c r="AF15" s="37"/>
      <c r="AH15" s="75" t="s">
        <v>30</v>
      </c>
      <c r="AI15" s="1973"/>
      <c r="AJ15" s="1973">
        <v>27</v>
      </c>
      <c r="AK15" s="1973">
        <v>7.7</v>
      </c>
      <c r="AL15" s="1973">
        <v>4.4000000000000004</v>
      </c>
      <c r="AM15" s="1973">
        <v>19.8</v>
      </c>
      <c r="AN15" s="1973">
        <v>4.3</v>
      </c>
      <c r="AO15" s="1973">
        <v>33.200000000000003</v>
      </c>
      <c r="AP15" s="1973">
        <v>8</v>
      </c>
    </row>
    <row r="16" spans="1:42">
      <c r="A16" s="23" t="s">
        <v>25</v>
      </c>
      <c r="C16">
        <v>2.0299999999999998</v>
      </c>
      <c r="D16">
        <v>2.12</v>
      </c>
      <c r="E16">
        <v>2.23</v>
      </c>
      <c r="F16">
        <v>1.7</v>
      </c>
      <c r="G16" s="356">
        <v>1.24</v>
      </c>
      <c r="H16" s="356">
        <v>2.5329999999999999</v>
      </c>
      <c r="I16" s="356">
        <v>1.4</v>
      </c>
      <c r="J16" s="356">
        <v>1.7</v>
      </c>
      <c r="K16" s="356">
        <v>1.8</v>
      </c>
      <c r="L16" s="356">
        <v>2.31</v>
      </c>
      <c r="M16" s="356">
        <v>2.2999999999999998</v>
      </c>
      <c r="N16" s="356">
        <v>2.7</v>
      </c>
      <c r="O16" s="356">
        <v>1.6</v>
      </c>
      <c r="P16" s="356">
        <v>2</v>
      </c>
      <c r="Q16" s="356">
        <v>1.5</v>
      </c>
      <c r="R16" s="356">
        <v>2.4</v>
      </c>
      <c r="S16" s="356">
        <v>2.5</v>
      </c>
      <c r="T16" s="356">
        <v>1.5</v>
      </c>
      <c r="U16" s="356">
        <v>1.8</v>
      </c>
      <c r="V16" s="356">
        <v>1.6</v>
      </c>
      <c r="W16" s="356">
        <v>2.2000000000000002</v>
      </c>
      <c r="X16" s="356">
        <v>1.42</v>
      </c>
      <c r="Y16" s="356">
        <v>1.1399999999999999</v>
      </c>
      <c r="Z16" s="356">
        <v>1.33</v>
      </c>
      <c r="AA16" s="356">
        <v>1.04</v>
      </c>
      <c r="AB16" s="356">
        <v>0.66</v>
      </c>
      <c r="AC16" s="356">
        <v>1.92</v>
      </c>
      <c r="AD16" s="356">
        <v>1.21</v>
      </c>
      <c r="AE16" s="356">
        <v>1.37</v>
      </c>
      <c r="AF16" s="2177"/>
      <c r="AH16" s="75" t="s">
        <v>25</v>
      </c>
      <c r="AI16" s="2179">
        <v>1.3</v>
      </c>
      <c r="AJ16" s="29">
        <v>1.4</v>
      </c>
      <c r="AK16" s="29">
        <v>1.4</v>
      </c>
      <c r="AL16" s="29">
        <v>1.1000000000000001</v>
      </c>
      <c r="AM16" s="29">
        <v>1.2</v>
      </c>
      <c r="AN16" s="29">
        <v>2.1</v>
      </c>
      <c r="AO16" s="29">
        <v>1.9</v>
      </c>
      <c r="AP16" s="2179">
        <v>1.64</v>
      </c>
    </row>
    <row r="17" spans="1:46">
      <c r="AH17" s="75" t="s">
        <v>1886</v>
      </c>
      <c r="AI17" s="1970">
        <f>AI13/AI12</f>
        <v>8.7837837837837842</v>
      </c>
      <c r="AJ17" s="1970">
        <f t="shared" ref="AJ17:AP17" si="0">AJ13/AJ12</f>
        <v>18</v>
      </c>
      <c r="AK17" s="1970">
        <f t="shared" si="0"/>
        <v>14</v>
      </c>
      <c r="AL17" s="1970">
        <f t="shared" si="0"/>
        <v>16</v>
      </c>
      <c r="AM17" s="1970">
        <f t="shared" si="0"/>
        <v>10.78125</v>
      </c>
      <c r="AN17" s="1970">
        <f t="shared" si="0"/>
        <v>10.037037037037036</v>
      </c>
      <c r="AO17" s="1970">
        <f t="shared" si="0"/>
        <v>10.459016393442623</v>
      </c>
      <c r="AP17" s="1970">
        <f t="shared" si="0"/>
        <v>10.16</v>
      </c>
    </row>
    <row r="18" spans="1:46">
      <c r="A18" s="2253" t="s">
        <v>36</v>
      </c>
      <c r="B18" s="2253"/>
      <c r="C18" s="2253"/>
      <c r="D18" s="2253"/>
      <c r="E18" s="2253"/>
      <c r="F18" s="2253"/>
      <c r="G18" s="2253"/>
      <c r="H18" s="2253"/>
      <c r="I18" s="2253"/>
      <c r="J18" s="2253"/>
      <c r="K18" s="2253"/>
      <c r="L18" s="2253"/>
      <c r="M18" s="2253"/>
      <c r="N18" s="2253"/>
      <c r="AH18" s="75" t="s">
        <v>1887</v>
      </c>
      <c r="AI18" s="2190" t="s">
        <v>28</v>
      </c>
      <c r="AJ18" s="2190" t="s">
        <v>1888</v>
      </c>
      <c r="AK18" s="2190" t="s">
        <v>1888</v>
      </c>
      <c r="AL18" s="2190" t="s">
        <v>1888</v>
      </c>
      <c r="AM18" s="2190" t="s">
        <v>1888</v>
      </c>
      <c r="AN18" s="2190" t="s">
        <v>1888</v>
      </c>
      <c r="AO18" s="2190" t="s">
        <v>1888</v>
      </c>
      <c r="AP18" s="2190" t="s">
        <v>1888</v>
      </c>
      <c r="AR18" s="2258" t="s">
        <v>1898</v>
      </c>
      <c r="AS18" s="2259"/>
      <c r="AT18" s="2259"/>
    </row>
    <row r="19" spans="1:46">
      <c r="A19" s="24" t="s">
        <v>32</v>
      </c>
      <c r="B19" s="5">
        <f>LN(B7)</f>
        <v>0.48550781578170082</v>
      </c>
      <c r="C19" s="5">
        <f t="shared" ref="C19:R19" si="1">LN(C7)</f>
        <v>0.77472716755236815</v>
      </c>
      <c r="D19" s="5">
        <f t="shared" si="1"/>
        <v>0.74193734472937733</v>
      </c>
      <c r="E19" s="5">
        <f t="shared" si="1"/>
        <v>1.0438040521731147</v>
      </c>
      <c r="F19" s="5">
        <f t="shared" si="1"/>
        <v>0.58221561985266368</v>
      </c>
      <c r="G19" s="5">
        <f t="shared" si="1"/>
        <v>0.76080582903376015</v>
      </c>
      <c r="H19" s="5">
        <f t="shared" si="1"/>
        <v>0.92127827338519419</v>
      </c>
      <c r="I19" s="5">
        <f t="shared" si="1"/>
        <v>0.53062825106217038</v>
      </c>
      <c r="J19" s="5">
        <f t="shared" si="1"/>
        <v>0.58778666490211906</v>
      </c>
      <c r="K19" s="5">
        <f t="shared" si="1"/>
        <v>0.58778666490211906</v>
      </c>
      <c r="L19" s="5">
        <f t="shared" si="1"/>
        <v>0.87546873735389985</v>
      </c>
      <c r="M19" s="5">
        <f t="shared" si="1"/>
        <v>0.83290912293510388</v>
      </c>
      <c r="N19" s="5">
        <f t="shared" si="1"/>
        <v>1.0986122886681098</v>
      </c>
      <c r="O19" s="5">
        <f t="shared" si="1"/>
        <v>0.53062825106217038</v>
      </c>
      <c r="P19" s="5">
        <f t="shared" si="1"/>
        <v>0.95551144502743635</v>
      </c>
      <c r="Q19" s="5">
        <f t="shared" si="1"/>
        <v>0.74193734472937733</v>
      </c>
      <c r="R19" s="5">
        <f t="shared" si="1"/>
        <v>0.87546873735389985</v>
      </c>
      <c r="S19" s="5">
        <f t="shared" ref="S19:X19" si="2">LN(S7)</f>
        <v>0.53062825106217038</v>
      </c>
      <c r="T19" s="5">
        <f t="shared" si="2"/>
        <v>0.87546873735389985</v>
      </c>
      <c r="U19" s="5">
        <f t="shared" si="2"/>
        <v>0.99325177301028345</v>
      </c>
      <c r="V19" s="5">
        <f t="shared" si="2"/>
        <v>0.53062825106217038</v>
      </c>
      <c r="W19" s="5">
        <f t="shared" si="2"/>
        <v>0.78845736036427028</v>
      </c>
      <c r="X19" s="5">
        <f t="shared" si="2"/>
        <v>0.79299251552966143</v>
      </c>
      <c r="Y19" s="5">
        <f t="shared" ref="Y19:AE19" si="3">LN(Y7)</f>
        <v>0.62057648772510998</v>
      </c>
      <c r="Z19" s="5">
        <f t="shared" si="3"/>
        <v>0.68309684470644383</v>
      </c>
      <c r="AA19" s="5">
        <f t="shared" si="3"/>
        <v>0.15700374880966469</v>
      </c>
      <c r="AB19" s="5">
        <f t="shared" si="3"/>
        <v>0.18232155679395459</v>
      </c>
      <c r="AC19" s="5">
        <f t="shared" si="3"/>
        <v>0.77472716755236815</v>
      </c>
      <c r="AD19" s="5">
        <f t="shared" si="3"/>
        <v>0.46373401623214022</v>
      </c>
      <c r="AE19" s="5">
        <f t="shared" si="3"/>
        <v>0.36464311358790924</v>
      </c>
      <c r="AF19" s="5"/>
      <c r="AH19" s="75" t="s">
        <v>25</v>
      </c>
      <c r="AI19" s="2186">
        <f t="shared" ref="AI19:AO19" si="4">LN(AI16)</f>
        <v>0.26236426446749106</v>
      </c>
      <c r="AJ19" s="2186">
        <f t="shared" si="4"/>
        <v>0.33647223662121289</v>
      </c>
      <c r="AK19" s="2186">
        <f t="shared" si="4"/>
        <v>0.33647223662121289</v>
      </c>
      <c r="AL19" s="2186">
        <f t="shared" si="4"/>
        <v>9.5310179804324935E-2</v>
      </c>
      <c r="AM19" s="2186">
        <f t="shared" si="4"/>
        <v>0.18232155679395459</v>
      </c>
      <c r="AN19" s="2186">
        <f t="shared" si="4"/>
        <v>0.74193734472937733</v>
      </c>
      <c r="AO19" s="2186">
        <f t="shared" si="4"/>
        <v>0.64185388617239469</v>
      </c>
      <c r="AP19" s="2186">
        <f>LN(AP16)</f>
        <v>0.494696241836107</v>
      </c>
      <c r="AR19" s="2194" t="s">
        <v>127</v>
      </c>
      <c r="AS19" s="2255" t="s">
        <v>128</v>
      </c>
      <c r="AT19" s="2255"/>
    </row>
    <row r="20" spans="1:46">
      <c r="A20" s="24"/>
      <c r="B20" s="5">
        <f>60-(14.41*B19)</f>
        <v>53.003832374585691</v>
      </c>
      <c r="C20" s="5">
        <f t="shared" ref="C20:R20" si="5">60-(14.41*C19)</f>
        <v>48.836181515570374</v>
      </c>
      <c r="D20" s="5">
        <f t="shared" si="5"/>
        <v>49.308682862449672</v>
      </c>
      <c r="E20" s="5">
        <f t="shared" si="5"/>
        <v>44.958783608185414</v>
      </c>
      <c r="F20" s="5">
        <f t="shared" si="5"/>
        <v>51.610272917923112</v>
      </c>
      <c r="G20" s="5">
        <f t="shared" si="5"/>
        <v>49.036788003623514</v>
      </c>
      <c r="H20" s="5">
        <f t="shared" si="5"/>
        <v>46.724380080519353</v>
      </c>
      <c r="I20" s="5">
        <f t="shared" si="5"/>
        <v>52.353646902194129</v>
      </c>
      <c r="J20" s="5">
        <f t="shared" si="5"/>
        <v>51.529994158760466</v>
      </c>
      <c r="K20" s="5">
        <f t="shared" si="5"/>
        <v>51.529994158760466</v>
      </c>
      <c r="L20" s="5">
        <f t="shared" si="5"/>
        <v>47.384495494730302</v>
      </c>
      <c r="M20" s="5">
        <f t="shared" si="5"/>
        <v>47.997779538505156</v>
      </c>
      <c r="N20" s="5">
        <f t="shared" si="5"/>
        <v>44.168996920292535</v>
      </c>
      <c r="O20" s="5">
        <f t="shared" si="5"/>
        <v>52.353646902194129</v>
      </c>
      <c r="P20" s="5">
        <f t="shared" si="5"/>
        <v>46.231080077154644</v>
      </c>
      <c r="Q20" s="5">
        <f t="shared" si="5"/>
        <v>49.308682862449672</v>
      </c>
      <c r="R20" s="5">
        <f t="shared" si="5"/>
        <v>47.384495494730302</v>
      </c>
      <c r="S20" s="5">
        <f t="shared" ref="S20:X20" si="6">60-(14.41*S19)</f>
        <v>52.353646902194129</v>
      </c>
      <c r="T20" s="5">
        <f t="shared" si="6"/>
        <v>47.384495494730302</v>
      </c>
      <c r="U20" s="5">
        <f t="shared" si="6"/>
        <v>45.687241950921816</v>
      </c>
      <c r="V20" s="5">
        <f t="shared" si="6"/>
        <v>52.353646902194129</v>
      </c>
      <c r="W20" s="5">
        <f t="shared" si="6"/>
        <v>48.638329437150865</v>
      </c>
      <c r="X20" s="5">
        <f t="shared" si="6"/>
        <v>48.57297785121758</v>
      </c>
      <c r="Y20" s="5">
        <f t="shared" ref="Y20:AE20" si="7">60-(14.41*Y19)</f>
        <v>51.057492811881161</v>
      </c>
      <c r="Z20" s="5">
        <f t="shared" si="7"/>
        <v>50.156574467780146</v>
      </c>
      <c r="AA20" s="5">
        <f t="shared" si="7"/>
        <v>57.737575979652732</v>
      </c>
      <c r="AB20" s="5">
        <f t="shared" si="7"/>
        <v>57.372746366599117</v>
      </c>
      <c r="AC20" s="5">
        <f t="shared" si="7"/>
        <v>48.836181515570374</v>
      </c>
      <c r="AD20" s="5">
        <f t="shared" si="7"/>
        <v>53.31759282609486</v>
      </c>
      <c r="AE20" s="5">
        <f t="shared" si="7"/>
        <v>54.745492733198226</v>
      </c>
      <c r="AH20" s="75" t="s">
        <v>1883</v>
      </c>
      <c r="AI20" s="2186">
        <f t="shared" ref="AI20:AO20" si="8">60-(14.41*AI19)</f>
        <v>56.219330949023451</v>
      </c>
      <c r="AJ20" s="2186">
        <f t="shared" si="8"/>
        <v>55.151435070288322</v>
      </c>
      <c r="AK20" s="2186">
        <f t="shared" si="8"/>
        <v>55.151435070288322</v>
      </c>
      <c r="AL20" s="2186">
        <f t="shared" si="8"/>
        <v>58.62658030901968</v>
      </c>
      <c r="AM20" s="2186">
        <f t="shared" si="8"/>
        <v>57.372746366599117</v>
      </c>
      <c r="AN20" s="2186">
        <f t="shared" si="8"/>
        <v>49.308682862449672</v>
      </c>
      <c r="AO20" s="2186">
        <f t="shared" si="8"/>
        <v>50.750885500255791</v>
      </c>
      <c r="AP20" s="2186">
        <f>60-(14.41*AP19)</f>
        <v>52.871427155141696</v>
      </c>
      <c r="AR20" s="2194" t="s">
        <v>54</v>
      </c>
      <c r="AS20" s="2255" t="s">
        <v>129</v>
      </c>
      <c r="AT20" s="2255"/>
    </row>
    <row r="21" spans="1:46">
      <c r="A21" s="24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AH21" s="75" t="s">
        <v>29</v>
      </c>
      <c r="AI21" s="2186"/>
      <c r="AJ21" s="2186">
        <f>LN(AJ14)</f>
        <v>1.791759469228055</v>
      </c>
      <c r="AK21" s="2186">
        <f t="shared" ref="AK21:AP21" si="9">LN(AK14)</f>
        <v>1.3862943611198906</v>
      </c>
      <c r="AL21" s="2186">
        <f t="shared" si="9"/>
        <v>0.95551144502743635</v>
      </c>
      <c r="AM21" s="2186">
        <f t="shared" si="9"/>
        <v>1.9021075263969205</v>
      </c>
      <c r="AN21" s="2186">
        <f t="shared" si="9"/>
        <v>1.0986122886681098</v>
      </c>
      <c r="AO21" s="2186">
        <f t="shared" si="9"/>
        <v>2.2192034840549946</v>
      </c>
      <c r="AP21" s="2186">
        <f t="shared" si="9"/>
        <v>1.3862943611198906</v>
      </c>
      <c r="AR21" s="2194" t="s">
        <v>92</v>
      </c>
      <c r="AS21" s="2255" t="s">
        <v>93</v>
      </c>
      <c r="AT21" s="2255"/>
    </row>
    <row r="22" spans="1:46">
      <c r="A22" s="24" t="s">
        <v>1882</v>
      </c>
      <c r="B22" s="5">
        <f>LN(B5)</f>
        <v>2.0110862220155639</v>
      </c>
      <c r="C22" s="5">
        <f t="shared" ref="C22:R22" si="10">LN(C5)</f>
        <v>3.0549441331858369</v>
      </c>
      <c r="D22" s="5">
        <f t="shared" si="10"/>
        <v>2.9449651565003379</v>
      </c>
      <c r="E22" s="5">
        <f t="shared" si="10"/>
        <v>2.1860512767380942</v>
      </c>
      <c r="F22" s="5">
        <f t="shared" si="10"/>
        <v>3.0170044088295307</v>
      </c>
      <c r="G22" s="5">
        <f t="shared" si="10"/>
        <v>1.6272778305624314</v>
      </c>
      <c r="H22" s="5">
        <f t="shared" si="10"/>
        <v>2.8390784635086144</v>
      </c>
      <c r="I22" s="5">
        <f t="shared" si="10"/>
        <v>2.1041341542702074</v>
      </c>
      <c r="J22" s="5">
        <f t="shared" si="10"/>
        <v>1.4586150226995167</v>
      </c>
      <c r="K22" s="5">
        <f t="shared" si="10"/>
        <v>1.7578579175523736</v>
      </c>
      <c r="L22" s="5">
        <f t="shared" si="10"/>
        <v>2.6461747973841225</v>
      </c>
      <c r="M22" s="5">
        <f t="shared" si="10"/>
        <v>3.202746442938317</v>
      </c>
      <c r="N22" s="5">
        <f t="shared" si="10"/>
        <v>2.7343675094195836</v>
      </c>
      <c r="O22" s="5">
        <f t="shared" si="10"/>
        <v>2.6946271807700692</v>
      </c>
      <c r="P22" s="5">
        <f t="shared" si="10"/>
        <v>1.8870696490323797</v>
      </c>
      <c r="Q22" s="5">
        <f t="shared" si="10"/>
        <v>2.7408400239252009</v>
      </c>
      <c r="R22" s="5">
        <f t="shared" si="10"/>
        <v>2.2082744135228043</v>
      </c>
      <c r="S22" s="5">
        <f t="shared" ref="S22:X22" si="11">LN(S5)</f>
        <v>2.2300144001592104</v>
      </c>
      <c r="T22" s="5">
        <f t="shared" si="11"/>
        <v>2.8507065015037334</v>
      </c>
      <c r="U22" s="5">
        <f t="shared" si="11"/>
        <v>2.5257286443082556</v>
      </c>
      <c r="V22" s="5">
        <f t="shared" si="11"/>
        <v>2.3608540011180215</v>
      </c>
      <c r="W22" s="5">
        <f t="shared" si="11"/>
        <v>2.379546134130174</v>
      </c>
      <c r="X22" s="5">
        <f t="shared" si="11"/>
        <v>2.7013612129514133</v>
      </c>
      <c r="Y22" s="5">
        <f t="shared" ref="Y22:AE22" si="12">LN(Y5)</f>
        <v>2.6810215287142909</v>
      </c>
      <c r="Z22" s="5">
        <f t="shared" si="12"/>
        <v>1.6677068205580761</v>
      </c>
      <c r="AA22" s="5">
        <f t="shared" si="12"/>
        <v>2.5802168295923251</v>
      </c>
      <c r="AB22" s="5">
        <f t="shared" si="12"/>
        <v>2.3125354238472138</v>
      </c>
      <c r="AC22" s="5">
        <f t="shared" si="12"/>
        <v>2.5494451709255714</v>
      </c>
      <c r="AD22" s="5">
        <f t="shared" si="12"/>
        <v>2.7972813348301528</v>
      </c>
      <c r="AE22" s="5">
        <f t="shared" si="12"/>
        <v>2.6946271807700692</v>
      </c>
      <c r="AH22" s="75" t="s">
        <v>1884</v>
      </c>
      <c r="AI22" s="1376"/>
      <c r="AJ22" s="2186">
        <f t="shared" ref="AJ22:AO22" si="13">(9.81*AJ21)+30.6</f>
        <v>48.177160393127224</v>
      </c>
      <c r="AK22" s="2186">
        <f t="shared" si="13"/>
        <v>44.199547682586129</v>
      </c>
      <c r="AL22" s="2186">
        <f t="shared" si="13"/>
        <v>39.973567275719148</v>
      </c>
      <c r="AM22" s="2186">
        <f t="shared" si="13"/>
        <v>49.259674833953795</v>
      </c>
      <c r="AN22" s="2186">
        <f t="shared" si="13"/>
        <v>41.377386551834157</v>
      </c>
      <c r="AO22" s="2186">
        <f t="shared" si="13"/>
        <v>52.370386178579494</v>
      </c>
      <c r="AP22" s="2186">
        <f>(9.81*AP21)+30.6</f>
        <v>44.199547682586129</v>
      </c>
      <c r="AR22" s="2194" t="s">
        <v>56</v>
      </c>
      <c r="AS22" s="2255" t="s">
        <v>57</v>
      </c>
      <c r="AT22" s="2255"/>
    </row>
    <row r="23" spans="1:46">
      <c r="A23" s="24"/>
      <c r="B23" s="5">
        <f>(9.81*B22)+30.6</f>
        <v>50.328755837972679</v>
      </c>
      <c r="C23" s="5">
        <f t="shared" ref="C23:R23" si="14">(9.81*C22)+30.6</f>
        <v>60.569001946553058</v>
      </c>
      <c r="D23" s="5">
        <f t="shared" si="14"/>
        <v>59.490108185268312</v>
      </c>
      <c r="E23" s="5">
        <f t="shared" si="14"/>
        <v>52.045163024800708</v>
      </c>
      <c r="F23" s="5">
        <f t="shared" si="14"/>
        <v>60.196813250617694</v>
      </c>
      <c r="G23" s="5">
        <f t="shared" si="14"/>
        <v>46.563595517817454</v>
      </c>
      <c r="H23" s="5">
        <f t="shared" si="14"/>
        <v>58.451359727019508</v>
      </c>
      <c r="I23" s="5">
        <f t="shared" si="14"/>
        <v>51.241556053390738</v>
      </c>
      <c r="J23" s="5">
        <f t="shared" si="14"/>
        <v>44.90901337268226</v>
      </c>
      <c r="K23" s="5">
        <f t="shared" si="14"/>
        <v>47.844586171188787</v>
      </c>
      <c r="L23" s="5">
        <f t="shared" si="14"/>
        <v>56.558974762338245</v>
      </c>
      <c r="M23" s="5">
        <f t="shared" si="14"/>
        <v>62.018942605224893</v>
      </c>
      <c r="N23" s="5">
        <f t="shared" si="14"/>
        <v>57.424145267406118</v>
      </c>
      <c r="O23" s="5">
        <f t="shared" si="14"/>
        <v>57.034292643354384</v>
      </c>
      <c r="P23" s="5">
        <f t="shared" si="14"/>
        <v>49.112153257007648</v>
      </c>
      <c r="Q23" s="5">
        <f t="shared" si="14"/>
        <v>57.487640634706224</v>
      </c>
      <c r="R23" s="5">
        <f t="shared" si="14"/>
        <v>52.263171996658713</v>
      </c>
      <c r="S23" s="5">
        <f t="shared" ref="S23:X23" si="15">(9.81*S22)+30.6</f>
        <v>52.47644126556186</v>
      </c>
      <c r="T23" s="5">
        <f t="shared" si="15"/>
        <v>58.565430779751622</v>
      </c>
      <c r="U23" s="5">
        <f t="shared" si="15"/>
        <v>55.377398000663987</v>
      </c>
      <c r="V23" s="5">
        <f t="shared" si="15"/>
        <v>53.759977750967792</v>
      </c>
      <c r="W23" s="5">
        <f t="shared" si="15"/>
        <v>53.943347575817015</v>
      </c>
      <c r="X23" s="5">
        <f t="shared" si="15"/>
        <v>57.100353499053369</v>
      </c>
      <c r="Y23" s="5">
        <f t="shared" ref="Y23:AE23" si="16">(9.81*Y22)+30.6</f>
        <v>56.900821196687197</v>
      </c>
      <c r="Z23" s="5">
        <f t="shared" si="16"/>
        <v>46.960203909674732</v>
      </c>
      <c r="AA23" s="5">
        <f t="shared" si="16"/>
        <v>55.911927098300708</v>
      </c>
      <c r="AB23" s="5">
        <f t="shared" si="16"/>
        <v>53.285972507941167</v>
      </c>
      <c r="AC23" s="5">
        <f t="shared" si="16"/>
        <v>55.610057126779857</v>
      </c>
      <c r="AD23" s="5">
        <f t="shared" si="16"/>
        <v>58.041329894683798</v>
      </c>
      <c r="AE23" s="5">
        <f t="shared" si="16"/>
        <v>57.034292643354384</v>
      </c>
      <c r="AH23" s="75" t="s">
        <v>27</v>
      </c>
      <c r="AI23" s="2186">
        <f t="shared" ref="AI23:AP23" si="17">LN(AI12)</f>
        <v>3.6109179126442243</v>
      </c>
      <c r="AJ23" s="2186">
        <f t="shared" si="17"/>
        <v>2.9444389791664403</v>
      </c>
      <c r="AK23" s="2186">
        <f t="shared" si="17"/>
        <v>2.9704144655697009</v>
      </c>
      <c r="AL23" s="2186">
        <f t="shared" si="17"/>
        <v>3.0910424533583161</v>
      </c>
      <c r="AM23" s="2186">
        <f t="shared" si="17"/>
        <v>3.4657359027997265</v>
      </c>
      <c r="AN23" s="2186">
        <f t="shared" si="17"/>
        <v>3.2958368660043291</v>
      </c>
      <c r="AO23" s="2186">
        <f t="shared" si="17"/>
        <v>3.417726683613366</v>
      </c>
      <c r="AP23" s="2186">
        <f t="shared" si="17"/>
        <v>3.2188758248682006</v>
      </c>
      <c r="AR23" s="2194" t="s">
        <v>90</v>
      </c>
      <c r="AS23" s="2255" t="s">
        <v>91</v>
      </c>
      <c r="AT23" s="2255"/>
    </row>
    <row r="24" spans="1:46">
      <c r="A24" s="24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AH24" s="75" t="s">
        <v>1885</v>
      </c>
      <c r="AI24" s="2186">
        <f t="shared" ref="AI24:AO24" si="18">+(14.42*AI23)+4.15</f>
        <v>56.219436300329711</v>
      </c>
      <c r="AJ24" s="2186">
        <f t="shared" si="18"/>
        <v>46.608810079580067</v>
      </c>
      <c r="AK24" s="2186">
        <f t="shared" si="18"/>
        <v>46.983376593515082</v>
      </c>
      <c r="AL24" s="2186">
        <f t="shared" si="18"/>
        <v>48.722832177426916</v>
      </c>
      <c r="AM24" s="2186">
        <f t="shared" si="18"/>
        <v>54.125911718372052</v>
      </c>
      <c r="AN24" s="2186">
        <f t="shared" si="18"/>
        <v>51.675967607782425</v>
      </c>
      <c r="AO24" s="2186">
        <f t="shared" si="18"/>
        <v>53.433618777704737</v>
      </c>
      <c r="AP24" s="2186">
        <f>+(14.42*AP23)+4.15</f>
        <v>50.566189394599448</v>
      </c>
      <c r="AR24" s="2194" t="s">
        <v>130</v>
      </c>
      <c r="AS24" s="2255" t="s">
        <v>78</v>
      </c>
      <c r="AT24" s="2255"/>
    </row>
    <row r="25" spans="1:46">
      <c r="A25" s="24" t="s">
        <v>34</v>
      </c>
      <c r="B25" s="5">
        <f>LN(B3)</f>
        <v>5.1119877883565437</v>
      </c>
      <c r="C25" s="5">
        <f t="shared" ref="C25:R25" si="19">LN(C3)</f>
        <v>5.2158049449735726</v>
      </c>
      <c r="D25" s="5">
        <f t="shared" si="19"/>
        <v>5.0891999869669187</v>
      </c>
      <c r="E25" s="5">
        <f t="shared" si="19"/>
        <v>5.1234281215713775</v>
      </c>
      <c r="F25" s="5">
        <f t="shared" si="19"/>
        <v>4.4662528868014224</v>
      </c>
      <c r="G25" s="5">
        <f t="shared" si="19"/>
        <v>3.7113745319413072</v>
      </c>
      <c r="H25" s="5">
        <f t="shared" si="19"/>
        <v>3.3823542938606757</v>
      </c>
      <c r="I25" s="5">
        <f t="shared" si="19"/>
        <v>3.629660094453965</v>
      </c>
      <c r="J25" s="5">
        <f t="shared" si="19"/>
        <v>3.6000482404073204</v>
      </c>
      <c r="K25" s="5">
        <f t="shared" si="19"/>
        <v>3.7281001672672178</v>
      </c>
      <c r="L25" s="5">
        <f t="shared" si="19"/>
        <v>4.0943445622221004</v>
      </c>
      <c r="M25" s="5">
        <f t="shared" si="19"/>
        <v>3.9080149840306073</v>
      </c>
      <c r="N25" s="5">
        <f t="shared" si="19"/>
        <v>3.9160150266976834</v>
      </c>
      <c r="O25" s="5">
        <f t="shared" si="19"/>
        <v>3.9019726695746448</v>
      </c>
      <c r="P25" s="5">
        <f t="shared" si="19"/>
        <v>3.4626060097907989</v>
      </c>
      <c r="Q25" s="5">
        <f t="shared" si="19"/>
        <v>3.6686767467964168</v>
      </c>
      <c r="R25" s="5">
        <f t="shared" si="19"/>
        <v>3.1780538303479458</v>
      </c>
      <c r="S25" s="5">
        <f t="shared" ref="S25:X25" si="20">LN(S3)</f>
        <v>3.4242626545931514</v>
      </c>
      <c r="T25" s="5">
        <f t="shared" si="20"/>
        <v>3.9239515762934198</v>
      </c>
      <c r="U25" s="5">
        <f t="shared" si="20"/>
        <v>3.5496173867804286</v>
      </c>
      <c r="V25" s="5">
        <f t="shared" si="20"/>
        <v>3.5145260669691587</v>
      </c>
      <c r="W25" s="5">
        <f t="shared" si="20"/>
        <v>3.708682081410116</v>
      </c>
      <c r="X25" s="5">
        <f t="shared" si="20"/>
        <v>4.1206618705394744</v>
      </c>
      <c r="Y25" s="5">
        <f t="shared" ref="Y25:AE25" si="21">LN(Y3)</f>
        <v>4.1835756959500436</v>
      </c>
      <c r="Z25" s="5">
        <f t="shared" si="21"/>
        <v>3.417726683613366</v>
      </c>
      <c r="AA25" s="5">
        <f t="shared" si="21"/>
        <v>4.0163830207523885</v>
      </c>
      <c r="AB25" s="5">
        <f t="shared" si="21"/>
        <v>4.1447207695471677</v>
      </c>
      <c r="AC25" s="5">
        <f t="shared" si="21"/>
        <v>3.8066624897703196</v>
      </c>
      <c r="AD25" s="5">
        <f t="shared" si="21"/>
        <v>3.7977338590260183</v>
      </c>
      <c r="AE25" s="5">
        <f t="shared" si="21"/>
        <v>4.1759245492145238</v>
      </c>
      <c r="AH25" s="75" t="s">
        <v>28</v>
      </c>
      <c r="AI25" s="2186">
        <f>LN(AI13/1000)</f>
        <v>-1.1239300966523995</v>
      </c>
      <c r="AJ25" s="2186">
        <f t="shared" ref="AJ25:AP25" si="22">LN(AJ13/1000)</f>
        <v>-1.0729445419195318</v>
      </c>
      <c r="AK25" s="2186">
        <f t="shared" si="22"/>
        <v>-1.2982834837971773</v>
      </c>
      <c r="AL25" s="2186">
        <f t="shared" si="22"/>
        <v>-1.04412410338404</v>
      </c>
      <c r="AM25" s="2186">
        <f t="shared" si="22"/>
        <v>-1.0642108619507773</v>
      </c>
      <c r="AN25" s="2186">
        <f t="shared" si="22"/>
        <v>-1.305636458102436</v>
      </c>
      <c r="AO25" s="2186">
        <f t="shared" si="22"/>
        <v>-1.1425641761972924</v>
      </c>
      <c r="AP25" s="2186">
        <f t="shared" si="22"/>
        <v>-1.3704210119636004</v>
      </c>
    </row>
    <row r="26" spans="1:46">
      <c r="A26" s="24"/>
      <c r="B26" s="5">
        <f>+(14.42*B25)+4.15</f>
        <v>77.86486390810137</v>
      </c>
      <c r="C26" s="5">
        <f t="shared" ref="C26:R26" si="23">+(14.42*C25)+4.15</f>
        <v>79.361907306518916</v>
      </c>
      <c r="D26" s="5">
        <f t="shared" si="23"/>
        <v>77.53626381206297</v>
      </c>
      <c r="E26" s="5">
        <f t="shared" si="23"/>
        <v>78.029833513059273</v>
      </c>
      <c r="F26" s="5">
        <f t="shared" si="23"/>
        <v>68.55336662767651</v>
      </c>
      <c r="G26" s="5">
        <f t="shared" si="23"/>
        <v>57.668020750593648</v>
      </c>
      <c r="H26" s="5">
        <f t="shared" si="23"/>
        <v>52.923548917470939</v>
      </c>
      <c r="I26" s="5">
        <f t="shared" si="23"/>
        <v>56.48969856202617</v>
      </c>
      <c r="J26" s="5">
        <f t="shared" si="23"/>
        <v>56.062695626673559</v>
      </c>
      <c r="K26" s="5">
        <f t="shared" si="23"/>
        <v>57.909204411993279</v>
      </c>
      <c r="L26" s="5">
        <f t="shared" si="23"/>
        <v>63.190448587242685</v>
      </c>
      <c r="M26" s="5">
        <f t="shared" si="23"/>
        <v>60.503576069721355</v>
      </c>
      <c r="N26" s="5">
        <f t="shared" si="23"/>
        <v>60.618936684980596</v>
      </c>
      <c r="O26" s="5">
        <f t="shared" si="23"/>
        <v>60.416445895266378</v>
      </c>
      <c r="P26" s="5">
        <f t="shared" si="23"/>
        <v>54.080778661183317</v>
      </c>
      <c r="Q26" s="5">
        <f t="shared" si="23"/>
        <v>57.052318688804327</v>
      </c>
      <c r="R26" s="5">
        <f t="shared" si="23"/>
        <v>49.977536233617379</v>
      </c>
      <c r="S26" s="5">
        <f t="shared" ref="S26:X26" si="24">+(14.42*S25)+4.15</f>
        <v>53.527867479233244</v>
      </c>
      <c r="T26" s="5">
        <f t="shared" si="24"/>
        <v>60.733381730151109</v>
      </c>
      <c r="U26" s="5">
        <f t="shared" si="24"/>
        <v>55.335482717373779</v>
      </c>
      <c r="V26" s="5">
        <f t="shared" si="24"/>
        <v>54.829465885695264</v>
      </c>
      <c r="W26" s="5">
        <f t="shared" si="24"/>
        <v>57.629195613933874</v>
      </c>
      <c r="X26" s="5">
        <f t="shared" si="24"/>
        <v>63.569944173179216</v>
      </c>
      <c r="Y26" s="5">
        <f t="shared" ref="Y26:AE26" si="25">+(14.42*Y25)+4.15</f>
        <v>64.477161535599635</v>
      </c>
      <c r="Z26" s="5">
        <f t="shared" si="25"/>
        <v>53.433618777704737</v>
      </c>
      <c r="AA26" s="5">
        <f t="shared" si="25"/>
        <v>62.066243159249439</v>
      </c>
      <c r="AB26" s="5">
        <f t="shared" si="25"/>
        <v>63.91687349687016</v>
      </c>
      <c r="AC26" s="5">
        <f t="shared" si="25"/>
        <v>59.042073102488004</v>
      </c>
      <c r="AD26" s="5">
        <f t="shared" si="25"/>
        <v>58.913322247155186</v>
      </c>
      <c r="AE26" s="5">
        <f t="shared" si="25"/>
        <v>64.366831999673437</v>
      </c>
      <c r="AH26" s="75" t="s">
        <v>1894</v>
      </c>
      <c r="AI26" s="1376">
        <f>56+19.8*AI25</f>
        <v>33.74618408628249</v>
      </c>
      <c r="AJ26" s="1376">
        <f t="shared" ref="AJ26:AP26" si="26">56+19.8*AJ25</f>
        <v>34.755698069993272</v>
      </c>
      <c r="AK26" s="1376">
        <f t="shared" si="26"/>
        <v>30.293987020815887</v>
      </c>
      <c r="AL26" s="1376">
        <f t="shared" si="26"/>
        <v>35.326342752996005</v>
      </c>
      <c r="AM26" s="1376">
        <f t="shared" si="26"/>
        <v>34.928624933374607</v>
      </c>
      <c r="AN26" s="1376">
        <f t="shared" si="26"/>
        <v>30.148398129571767</v>
      </c>
      <c r="AO26" s="1376">
        <f t="shared" si="26"/>
        <v>33.377229311293604</v>
      </c>
      <c r="AP26" s="1376">
        <f t="shared" si="26"/>
        <v>28.86566396312071</v>
      </c>
    </row>
    <row r="27" spans="1:46">
      <c r="A27" s="24"/>
      <c r="B27" s="156">
        <v>1988</v>
      </c>
      <c r="C27" s="156">
        <v>1991</v>
      </c>
      <c r="D27" s="156">
        <v>1992</v>
      </c>
      <c r="E27" s="156">
        <v>1993</v>
      </c>
      <c r="F27" s="156">
        <v>1994</v>
      </c>
      <c r="G27" s="156">
        <v>1995</v>
      </c>
      <c r="H27" s="156">
        <v>1996</v>
      </c>
      <c r="I27" s="156">
        <v>1997</v>
      </c>
      <c r="J27" s="156">
        <v>1998</v>
      </c>
      <c r="K27" s="156">
        <v>1999</v>
      </c>
      <c r="L27" s="156">
        <v>2000</v>
      </c>
      <c r="M27" s="156">
        <v>2001</v>
      </c>
      <c r="N27" s="156">
        <v>2002</v>
      </c>
      <c r="O27" s="156">
        <v>2003</v>
      </c>
      <c r="P27" s="156">
        <v>2004</v>
      </c>
      <c r="Q27" s="156">
        <v>2005</v>
      </c>
      <c r="R27" s="156">
        <v>2006</v>
      </c>
      <c r="S27" s="156">
        <v>2007</v>
      </c>
      <c r="T27" s="156">
        <v>2008</v>
      </c>
      <c r="U27" s="156">
        <v>2009</v>
      </c>
      <c r="V27" s="156">
        <v>2010</v>
      </c>
      <c r="W27" s="156">
        <v>2011</v>
      </c>
      <c r="X27" s="156">
        <v>2012</v>
      </c>
      <c r="Y27" s="156">
        <v>2013</v>
      </c>
      <c r="Z27" s="156">
        <v>2014</v>
      </c>
      <c r="AA27" s="156">
        <v>2015</v>
      </c>
      <c r="AB27" s="263">
        <v>2016</v>
      </c>
      <c r="AC27" s="263">
        <v>2017</v>
      </c>
      <c r="AD27" s="263">
        <v>2018</v>
      </c>
      <c r="AE27" s="263">
        <v>2019</v>
      </c>
      <c r="AP27" s="2183"/>
    </row>
    <row r="28" spans="1:46" ht="23">
      <c r="A28" s="5"/>
      <c r="B28" s="5">
        <f>AVERAGE(B20,B23,B26)</f>
        <v>60.39915070688658</v>
      </c>
      <c r="C28" s="5">
        <f t="shared" ref="C28:AE28" si="27">AVERAGE(C20,C23,C26)</f>
        <v>62.922363589547444</v>
      </c>
      <c r="D28" s="5">
        <f t="shared" si="27"/>
        <v>62.111684953260315</v>
      </c>
      <c r="E28" s="5">
        <f t="shared" si="27"/>
        <v>58.344593382015127</v>
      </c>
      <c r="F28" s="5">
        <f t="shared" si="27"/>
        <v>60.120150932072441</v>
      </c>
      <c r="G28" s="5">
        <f t="shared" si="27"/>
        <v>51.089468090678203</v>
      </c>
      <c r="H28" s="5">
        <f t="shared" si="27"/>
        <v>52.699762908336595</v>
      </c>
      <c r="I28" s="5">
        <f t="shared" si="27"/>
        <v>53.361633839203677</v>
      </c>
      <c r="J28" s="5">
        <f t="shared" si="27"/>
        <v>50.833901052705436</v>
      </c>
      <c r="K28" s="5">
        <f t="shared" si="27"/>
        <v>52.427928247314178</v>
      </c>
      <c r="L28" s="5">
        <f t="shared" si="27"/>
        <v>55.711306281437082</v>
      </c>
      <c r="M28" s="5">
        <f t="shared" si="27"/>
        <v>56.840099404483801</v>
      </c>
      <c r="N28" s="5">
        <f t="shared" si="27"/>
        <v>54.070692957559743</v>
      </c>
      <c r="O28" s="5">
        <f t="shared" si="27"/>
        <v>56.601461813604963</v>
      </c>
      <c r="P28" s="5">
        <f t="shared" si="27"/>
        <v>49.808003998448534</v>
      </c>
      <c r="Q28" s="5">
        <f t="shared" si="27"/>
        <v>54.616214061986739</v>
      </c>
      <c r="R28" s="5">
        <f t="shared" si="27"/>
        <v>49.875067908335467</v>
      </c>
      <c r="S28" s="5">
        <f t="shared" si="27"/>
        <v>52.785985215663082</v>
      </c>
      <c r="T28" s="5">
        <f t="shared" si="27"/>
        <v>55.561102668211014</v>
      </c>
      <c r="U28" s="5">
        <f t="shared" si="27"/>
        <v>52.133374222986525</v>
      </c>
      <c r="V28" s="5">
        <f t="shared" si="27"/>
        <v>53.647696846285726</v>
      </c>
      <c r="W28" s="5">
        <f t="shared" si="27"/>
        <v>53.403624208967244</v>
      </c>
      <c r="X28" s="5">
        <f t="shared" si="27"/>
        <v>56.414425174483391</v>
      </c>
      <c r="Y28" s="5">
        <f t="shared" si="27"/>
        <v>57.478491848055995</v>
      </c>
      <c r="Z28" s="5">
        <f t="shared" si="27"/>
        <v>50.183465718386536</v>
      </c>
      <c r="AA28" s="5">
        <f t="shared" si="27"/>
        <v>58.571915412400962</v>
      </c>
      <c r="AB28" s="5">
        <f t="shared" si="27"/>
        <v>58.191864123803477</v>
      </c>
      <c r="AC28" s="5">
        <f t="shared" si="27"/>
        <v>54.496103914946083</v>
      </c>
      <c r="AD28" s="5">
        <f t="shared" si="27"/>
        <v>56.757414989311279</v>
      </c>
      <c r="AE28" s="5">
        <f t="shared" si="27"/>
        <v>58.715539125408689</v>
      </c>
      <c r="AH28" s="2191" t="s">
        <v>1892</v>
      </c>
      <c r="AI28" s="2189">
        <f t="shared" ref="AI28:AP28" si="28">AVERAGE(AI24,AI20,AI22)</f>
        <v>56.219383624676581</v>
      </c>
      <c r="AJ28" s="2189">
        <f t="shared" si="28"/>
        <v>49.979135180998533</v>
      </c>
      <c r="AK28" s="2189">
        <f t="shared" si="28"/>
        <v>48.778119782129842</v>
      </c>
      <c r="AL28" s="2189">
        <f t="shared" si="28"/>
        <v>49.107659920721915</v>
      </c>
      <c r="AM28" s="2189">
        <f t="shared" si="28"/>
        <v>53.586110972974986</v>
      </c>
      <c r="AN28" s="2189">
        <f t="shared" si="28"/>
        <v>47.454012340688756</v>
      </c>
      <c r="AO28" s="2189">
        <f t="shared" si="28"/>
        <v>52.184963485513343</v>
      </c>
      <c r="AP28" s="2189">
        <f t="shared" si="28"/>
        <v>49.212388077442426</v>
      </c>
    </row>
    <row r="29" spans="1:46" ht="23" customHeight="1">
      <c r="A29" s="2254" t="s">
        <v>37</v>
      </c>
      <c r="B29" s="2254"/>
      <c r="C29" s="2254"/>
      <c r="D29" s="2254"/>
      <c r="E29" s="2254"/>
      <c r="F29" s="2254"/>
      <c r="G29" s="2254"/>
      <c r="H29" s="2254"/>
      <c r="I29" s="2254"/>
      <c r="J29" s="2254"/>
      <c r="K29" s="2254"/>
      <c r="L29" s="2254"/>
      <c r="M29" s="2254"/>
      <c r="N29" s="2254"/>
      <c r="AI29" s="464" t="s">
        <v>1889</v>
      </c>
      <c r="AJ29" s="2256" t="s">
        <v>1890</v>
      </c>
      <c r="AK29" s="2256"/>
      <c r="AL29" s="2256"/>
      <c r="AM29" s="464" t="s">
        <v>1889</v>
      </c>
      <c r="AN29" s="464" t="s">
        <v>1890</v>
      </c>
      <c r="AO29" s="464" t="s">
        <v>1889</v>
      </c>
      <c r="AP29" s="464" t="s">
        <v>1890</v>
      </c>
    </row>
    <row r="30" spans="1:46">
      <c r="A30" s="24" t="s">
        <v>32</v>
      </c>
      <c r="B30" s="5"/>
      <c r="C30" s="5">
        <f>LN(C16)</f>
        <v>0.70803579305369591</v>
      </c>
      <c r="D30" s="5">
        <f t="shared" ref="D30:R30" si="29">LN(D16)</f>
        <v>0.75141608868392118</v>
      </c>
      <c r="E30" s="5">
        <f t="shared" si="29"/>
        <v>0.80200158547202738</v>
      </c>
      <c r="F30" s="5">
        <f t="shared" si="29"/>
        <v>0.53062825106217038</v>
      </c>
      <c r="G30" s="5">
        <f t="shared" si="29"/>
        <v>0.21511137961694549</v>
      </c>
      <c r="H30" s="5">
        <f t="shared" si="29"/>
        <v>0.9294043710195381</v>
      </c>
      <c r="I30" s="5">
        <f t="shared" si="29"/>
        <v>0.33647223662121289</v>
      </c>
      <c r="J30" s="5">
        <f t="shared" si="29"/>
        <v>0.53062825106217038</v>
      </c>
      <c r="K30" s="5">
        <f t="shared" si="29"/>
        <v>0.58778666490211906</v>
      </c>
      <c r="L30" s="5">
        <f t="shared" si="29"/>
        <v>0.83724752453370221</v>
      </c>
      <c r="M30" s="5">
        <f t="shared" si="29"/>
        <v>0.83290912293510388</v>
      </c>
      <c r="N30" s="5">
        <f t="shared" si="29"/>
        <v>0.99325177301028345</v>
      </c>
      <c r="O30" s="5">
        <f t="shared" si="29"/>
        <v>0.47000362924573563</v>
      </c>
      <c r="P30" s="5">
        <f t="shared" si="29"/>
        <v>0.69314718055994529</v>
      </c>
      <c r="Q30" s="5">
        <f t="shared" si="29"/>
        <v>0.40546510810816438</v>
      </c>
      <c r="R30" s="5">
        <f t="shared" si="29"/>
        <v>0.87546873735389985</v>
      </c>
      <c r="S30" s="5">
        <f t="shared" ref="S30:X30" si="30">LN(S16)</f>
        <v>0.91629073187415511</v>
      </c>
      <c r="T30" s="5">
        <f t="shared" si="30"/>
        <v>0.40546510810816438</v>
      </c>
      <c r="U30" s="5">
        <f t="shared" si="30"/>
        <v>0.58778666490211906</v>
      </c>
      <c r="V30" s="5">
        <f t="shared" si="30"/>
        <v>0.47000362924573563</v>
      </c>
      <c r="W30" s="5">
        <f t="shared" si="30"/>
        <v>0.78845736036427028</v>
      </c>
      <c r="X30" s="5">
        <f t="shared" si="30"/>
        <v>0.35065687161316933</v>
      </c>
      <c r="Y30" s="5">
        <f t="shared" ref="Y30:AD30" si="31">LN(Y16)</f>
        <v>0.131028262406404</v>
      </c>
      <c r="Z30" s="5">
        <f t="shared" si="31"/>
        <v>0.28517894223366247</v>
      </c>
      <c r="AA30" s="5">
        <f t="shared" si="31"/>
        <v>3.9220713153281329E-2</v>
      </c>
      <c r="AB30" s="5">
        <f t="shared" si="31"/>
        <v>-0.41551544396166579</v>
      </c>
      <c r="AC30" s="5">
        <f t="shared" si="31"/>
        <v>0.65232518603969014</v>
      </c>
      <c r="AD30" s="5">
        <f t="shared" si="31"/>
        <v>0.1906203596086497</v>
      </c>
      <c r="AE30" s="5">
        <f t="shared" ref="AE30" si="32">LN(AE16)</f>
        <v>0.3148107398400336</v>
      </c>
      <c r="AI30" s="2180">
        <v>2012</v>
      </c>
      <c r="AJ30" s="2180">
        <v>2013</v>
      </c>
      <c r="AK30" s="2180">
        <v>2014</v>
      </c>
      <c r="AL30" s="2180">
        <v>2015</v>
      </c>
      <c r="AM30" s="2180">
        <v>2016</v>
      </c>
      <c r="AN30" s="2180">
        <v>2017</v>
      </c>
      <c r="AO30" s="2180">
        <v>2018</v>
      </c>
      <c r="AP30" s="2180">
        <v>2019</v>
      </c>
    </row>
    <row r="31" spans="1:46">
      <c r="A31" s="24"/>
      <c r="B31" s="5"/>
      <c r="C31" s="5">
        <f t="shared" ref="C31:R31" si="33">60-(14.41*C30)</f>
        <v>49.797204222096241</v>
      </c>
      <c r="D31" s="5">
        <f t="shared" si="33"/>
        <v>49.172094162064695</v>
      </c>
      <c r="E31" s="5">
        <f t="shared" si="33"/>
        <v>48.443157153348082</v>
      </c>
      <c r="F31" s="5">
        <f t="shared" si="33"/>
        <v>52.353646902194129</v>
      </c>
      <c r="G31" s="5">
        <f t="shared" si="33"/>
        <v>56.900245019719819</v>
      </c>
      <c r="H31" s="5">
        <f t="shared" si="33"/>
        <v>46.607283013608452</v>
      </c>
      <c r="I31" s="5">
        <f t="shared" si="33"/>
        <v>55.151435070288322</v>
      </c>
      <c r="J31" s="5">
        <f t="shared" si="33"/>
        <v>52.353646902194129</v>
      </c>
      <c r="K31" s="5">
        <f t="shared" si="33"/>
        <v>51.529994158760466</v>
      </c>
      <c r="L31" s="5">
        <f t="shared" si="33"/>
        <v>47.935263171469352</v>
      </c>
      <c r="M31" s="5">
        <f t="shared" si="33"/>
        <v>47.997779538505156</v>
      </c>
      <c r="N31" s="5">
        <f t="shared" si="33"/>
        <v>45.687241950921816</v>
      </c>
      <c r="O31" s="5">
        <f t="shared" si="33"/>
        <v>53.227247702568953</v>
      </c>
      <c r="P31" s="5">
        <f t="shared" si="33"/>
        <v>50.011749128131186</v>
      </c>
      <c r="Q31" s="5">
        <f t="shared" si="33"/>
        <v>54.15724779216135</v>
      </c>
      <c r="R31" s="5">
        <f t="shared" si="33"/>
        <v>47.384495494730302</v>
      </c>
      <c r="S31" s="5">
        <f t="shared" ref="S31:X31" si="34">60-(14.41*S30)</f>
        <v>46.796250553693426</v>
      </c>
      <c r="T31" s="5">
        <f t="shared" si="34"/>
        <v>54.15724779216135</v>
      </c>
      <c r="U31" s="5">
        <f t="shared" si="34"/>
        <v>51.529994158760466</v>
      </c>
      <c r="V31" s="5">
        <f t="shared" si="34"/>
        <v>53.227247702568953</v>
      </c>
      <c r="W31" s="5">
        <f t="shared" si="34"/>
        <v>48.638329437150865</v>
      </c>
      <c r="X31" s="5">
        <f t="shared" si="34"/>
        <v>54.947034480054228</v>
      </c>
      <c r="Y31" s="5">
        <f t="shared" ref="Y31:AD31" si="35">60-(14.41*Y30)</f>
        <v>58.111882738723722</v>
      </c>
      <c r="Z31" s="5">
        <f t="shared" si="35"/>
        <v>55.89057144241292</v>
      </c>
      <c r="AA31" s="5">
        <f t="shared" si="35"/>
        <v>59.434829523461218</v>
      </c>
      <c r="AB31" s="5">
        <f t="shared" si="35"/>
        <v>65.987577547487604</v>
      </c>
      <c r="AC31" s="5">
        <f t="shared" si="35"/>
        <v>50.599994069168062</v>
      </c>
      <c r="AD31" s="5">
        <f t="shared" si="35"/>
        <v>57.25316061803936</v>
      </c>
      <c r="AE31" s="5">
        <f t="shared" ref="AE31" si="36">60-(14.41*AE30)</f>
        <v>55.463577238905117</v>
      </c>
      <c r="AH31" t="s">
        <v>1895</v>
      </c>
      <c r="AI31">
        <v>50</v>
      </c>
      <c r="AJ31" s="1969">
        <v>50</v>
      </c>
      <c r="AK31" s="1969">
        <v>50</v>
      </c>
      <c r="AL31" s="1969">
        <v>50</v>
      </c>
      <c r="AM31" s="1969">
        <v>50</v>
      </c>
      <c r="AN31" s="1969">
        <v>50</v>
      </c>
      <c r="AO31" s="1969">
        <v>50</v>
      </c>
      <c r="AP31" s="1969">
        <v>50</v>
      </c>
    </row>
    <row r="32" spans="1:46">
      <c r="A32" s="24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AH32" t="s">
        <v>1893</v>
      </c>
      <c r="AJ32" s="1970">
        <f t="shared" ref="AJ32:AP32" si="37">(AJ22+(AJ26+AJ20)/2)/2</f>
        <v>46.565363481634009</v>
      </c>
      <c r="AK32" s="1970">
        <f t="shared" si="37"/>
        <v>43.461129364069116</v>
      </c>
      <c r="AL32" s="1970">
        <f t="shared" si="37"/>
        <v>43.475014403363495</v>
      </c>
      <c r="AM32" s="1970">
        <f t="shared" si="37"/>
        <v>47.705180241970325</v>
      </c>
      <c r="AN32" s="1970">
        <f t="shared" si="37"/>
        <v>40.552963523922443</v>
      </c>
      <c r="AO32" s="1970">
        <f t="shared" si="37"/>
        <v>47.217221792177099</v>
      </c>
      <c r="AP32" s="1970">
        <f t="shared" si="37"/>
        <v>42.534046620858668</v>
      </c>
    </row>
    <row r="33" spans="1:42">
      <c r="A33" s="24" t="s">
        <v>33</v>
      </c>
      <c r="B33" s="5"/>
      <c r="C33" s="5">
        <f>LN(C14)</f>
        <v>1.3837912309017721</v>
      </c>
      <c r="D33" s="5">
        <f t="shared" ref="D33:R33" si="38">LN(D14)</f>
        <v>2.4664031782234406</v>
      </c>
      <c r="E33" s="5">
        <f t="shared" si="38"/>
        <v>2.6672282065819548</v>
      </c>
      <c r="F33" s="5">
        <f t="shared" si="38"/>
        <v>3.2733640101522705</v>
      </c>
      <c r="G33" s="5">
        <f t="shared" si="38"/>
        <v>2.3942522815198695</v>
      </c>
      <c r="H33" s="5">
        <f t="shared" si="38"/>
        <v>3.1701056604987712</v>
      </c>
      <c r="I33" s="5">
        <f t="shared" si="38"/>
        <v>1.791759469228055</v>
      </c>
      <c r="J33" s="5">
        <f t="shared" si="38"/>
        <v>0.99325177301028345</v>
      </c>
      <c r="K33" s="5">
        <f t="shared" si="38"/>
        <v>1.1314021114911006</v>
      </c>
      <c r="L33" s="5">
        <f t="shared" si="38"/>
        <v>2.6810215287142909</v>
      </c>
      <c r="M33" s="5">
        <f t="shared" si="38"/>
        <v>3.1570004211501135</v>
      </c>
      <c r="N33" s="5">
        <f t="shared" si="38"/>
        <v>3.0106208860477417</v>
      </c>
      <c r="O33" s="5">
        <f t="shared" si="38"/>
        <v>2.917770732084279</v>
      </c>
      <c r="P33" s="5">
        <f t="shared" si="38"/>
        <v>2.1400661634962708</v>
      </c>
      <c r="Q33" s="5">
        <f t="shared" si="38"/>
        <v>2.7343675094195836</v>
      </c>
      <c r="R33" s="5">
        <f t="shared" si="38"/>
        <v>2.5802168295923251</v>
      </c>
      <c r="S33" s="5">
        <f t="shared" ref="S33:X33" si="39">LN(S14)</f>
        <v>1.8718021769015913</v>
      </c>
      <c r="T33" s="5">
        <f t="shared" si="39"/>
        <v>3.2503744919275719</v>
      </c>
      <c r="U33" s="5">
        <f t="shared" si="39"/>
        <v>3.1484533605716547</v>
      </c>
      <c r="V33" s="5">
        <f t="shared" si="39"/>
        <v>2.7212954278522306</v>
      </c>
      <c r="W33" s="5">
        <f t="shared" si="39"/>
        <v>2.1972245773362196</v>
      </c>
      <c r="X33" s="5">
        <f t="shared" si="39"/>
        <v>3.2228678461377385</v>
      </c>
      <c r="Y33" s="5">
        <f t="shared" ref="Y33:AD33" si="40">LN(Y14)</f>
        <v>3.2733640101522705</v>
      </c>
      <c r="Z33" s="5">
        <f t="shared" si="40"/>
        <v>2.1162555148025524</v>
      </c>
      <c r="AA33" s="5">
        <f t="shared" si="40"/>
        <v>3.039749158970765</v>
      </c>
      <c r="AB33" s="5">
        <f t="shared" si="40"/>
        <v>2.6810215287142909</v>
      </c>
      <c r="AC33" s="5">
        <f t="shared" si="40"/>
        <v>3.1135153092103742</v>
      </c>
      <c r="AD33" s="5">
        <f t="shared" si="40"/>
        <v>2.6810215287142909</v>
      </c>
      <c r="AE33" s="5">
        <f t="shared" ref="AE33" si="41">LN(AE14)</f>
        <v>2.631888840136646</v>
      </c>
      <c r="AJ33" s="91" t="s">
        <v>1890</v>
      </c>
      <c r="AK33" s="2257" t="s">
        <v>1891</v>
      </c>
      <c r="AL33" s="2257"/>
      <c r="AM33" s="91" t="s">
        <v>1890</v>
      </c>
      <c r="AN33" s="91" t="s">
        <v>1891</v>
      </c>
      <c r="AO33" s="91" t="s">
        <v>1890</v>
      </c>
      <c r="AP33" s="91" t="s">
        <v>1891</v>
      </c>
    </row>
    <row r="34" spans="1:42">
      <c r="A34" s="24"/>
      <c r="B34" s="5"/>
      <c r="C34" s="5">
        <f t="shared" ref="C34:R34" si="42">(9.81*C33)+30.6</f>
        <v>44.174991975146384</v>
      </c>
      <c r="D34" s="5">
        <f t="shared" si="42"/>
        <v>54.795415178371954</v>
      </c>
      <c r="E34" s="5">
        <f t="shared" si="42"/>
        <v>56.76550870656898</v>
      </c>
      <c r="F34" s="5">
        <f t="shared" si="42"/>
        <v>62.711700939593776</v>
      </c>
      <c r="G34" s="5">
        <f t="shared" si="42"/>
        <v>54.087614881709925</v>
      </c>
      <c r="H34" s="5">
        <f t="shared" si="42"/>
        <v>61.698736529492948</v>
      </c>
      <c r="I34" s="5">
        <f t="shared" si="42"/>
        <v>48.177160393127224</v>
      </c>
      <c r="J34" s="5">
        <f t="shared" si="42"/>
        <v>40.34379989323088</v>
      </c>
      <c r="K34" s="5">
        <f t="shared" si="42"/>
        <v>41.699054713727698</v>
      </c>
      <c r="L34" s="5">
        <f t="shared" si="42"/>
        <v>56.900821196687197</v>
      </c>
      <c r="M34" s="5">
        <f t="shared" si="42"/>
        <v>61.570174131482617</v>
      </c>
      <c r="N34" s="5">
        <f t="shared" si="42"/>
        <v>60.134190892128345</v>
      </c>
      <c r="O34" s="5">
        <f t="shared" si="42"/>
        <v>59.223330881746776</v>
      </c>
      <c r="P34" s="5">
        <f t="shared" si="42"/>
        <v>51.594049063898417</v>
      </c>
      <c r="Q34" s="5">
        <f t="shared" si="42"/>
        <v>57.424145267406118</v>
      </c>
      <c r="R34" s="5">
        <f t="shared" si="42"/>
        <v>55.911927098300708</v>
      </c>
      <c r="S34" s="5">
        <f t="shared" ref="S34:X34" si="43">(9.81*S33)+30.6</f>
        <v>48.962379355404615</v>
      </c>
      <c r="T34" s="5">
        <f t="shared" si="43"/>
        <v>62.486173765809482</v>
      </c>
      <c r="U34" s="5">
        <f t="shared" si="43"/>
        <v>61.486327467207936</v>
      </c>
      <c r="V34" s="5">
        <f t="shared" si="43"/>
        <v>57.295908147230385</v>
      </c>
      <c r="W34" s="5">
        <f t="shared" si="43"/>
        <v>52.154773103668319</v>
      </c>
      <c r="X34" s="5">
        <f t="shared" si="43"/>
        <v>62.216333570611212</v>
      </c>
      <c r="Y34" s="5">
        <f t="shared" ref="Y34:AD34" si="44">(9.81*Y33)+30.6</f>
        <v>62.711700939593776</v>
      </c>
      <c r="Z34" s="5">
        <f t="shared" si="44"/>
        <v>51.360466600213044</v>
      </c>
      <c r="AA34" s="5">
        <f t="shared" si="44"/>
        <v>60.419939249503209</v>
      </c>
      <c r="AB34" s="5">
        <f t="shared" si="44"/>
        <v>56.900821196687197</v>
      </c>
      <c r="AC34" s="5">
        <f t="shared" si="44"/>
        <v>61.143585183353778</v>
      </c>
      <c r="AD34" s="5">
        <f t="shared" si="44"/>
        <v>56.900821196687197</v>
      </c>
      <c r="AE34" s="5">
        <f t="shared" ref="AE34" si="45">(9.81*AE33)+30.6</f>
        <v>56.418829521740506</v>
      </c>
    </row>
    <row r="35" spans="1:42">
      <c r="A35" s="24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</row>
    <row r="36" spans="1:42">
      <c r="A36" s="24" t="s">
        <v>34</v>
      </c>
      <c r="B36" s="5"/>
      <c r="C36" s="5">
        <f>LN(C12)</f>
        <v>5.2566095631482463</v>
      </c>
      <c r="D36" s="5">
        <f t="shared" ref="D36:P36" si="46">LN(D12)</f>
        <v>5.2021368080740675</v>
      </c>
      <c r="E36" s="5">
        <f t="shared" si="46"/>
        <v>5.3322355847514977</v>
      </c>
      <c r="F36" s="5">
        <f t="shared" si="46"/>
        <v>4.5247190615904644</v>
      </c>
      <c r="G36" s="5">
        <f t="shared" si="46"/>
        <v>4.0673158898341812</v>
      </c>
      <c r="H36" s="5">
        <f t="shared" si="46"/>
        <v>3.4307561839036995</v>
      </c>
      <c r="I36" s="5">
        <f t="shared" si="46"/>
        <v>3.6635616461296463</v>
      </c>
      <c r="J36" s="5">
        <f t="shared" si="46"/>
        <v>3.5553480614894135</v>
      </c>
      <c r="K36" s="5">
        <f t="shared" si="46"/>
        <v>3.8372994592322094</v>
      </c>
      <c r="L36" s="5">
        <f t="shared" si="46"/>
        <v>3.7471483622379123</v>
      </c>
      <c r="M36" s="5">
        <f t="shared" si="46"/>
        <v>4.1303549997451334</v>
      </c>
      <c r="N36" s="5">
        <f t="shared" si="46"/>
        <v>3.9318256327243257</v>
      </c>
      <c r="O36" s="5">
        <f t="shared" si="46"/>
        <v>4.133565275375382</v>
      </c>
      <c r="P36" s="5">
        <f t="shared" si="46"/>
        <v>3.6963514689526371</v>
      </c>
      <c r="Q36" s="5">
        <f t="shared" ref="Q36:W36" si="47">LN(Q12)</f>
        <v>3.824284091120139</v>
      </c>
      <c r="R36" s="5">
        <f t="shared" si="47"/>
        <v>3.2386784521643803</v>
      </c>
      <c r="S36" s="5">
        <f t="shared" si="47"/>
        <v>3.3534067178258069</v>
      </c>
      <c r="T36" s="5">
        <f t="shared" si="47"/>
        <v>4.1174098351530963</v>
      </c>
      <c r="U36" s="5">
        <f t="shared" si="47"/>
        <v>3.8938590348004749</v>
      </c>
      <c r="V36" s="5">
        <f t="shared" si="47"/>
        <v>3.6584202466292277</v>
      </c>
      <c r="W36" s="5">
        <f t="shared" si="47"/>
        <v>4.01096295328305</v>
      </c>
      <c r="X36" s="5">
        <f t="shared" ref="X36:AC36" si="48">LN(X12)</f>
        <v>4.5767707114663931</v>
      </c>
      <c r="Y36" s="5">
        <f t="shared" si="48"/>
        <v>4.715816706075155</v>
      </c>
      <c r="Z36" s="5">
        <f t="shared" si="48"/>
        <v>3.7999735016195233</v>
      </c>
      <c r="AA36" s="5">
        <f t="shared" si="48"/>
        <v>4.475061500641071</v>
      </c>
      <c r="AB36" s="5">
        <f t="shared" si="48"/>
        <v>4.5549289695513444</v>
      </c>
      <c r="AC36" s="5">
        <f t="shared" si="48"/>
        <v>4.1271343850450917</v>
      </c>
      <c r="AD36" s="5">
        <f>LN(AD12)</f>
        <v>4.1239033644636454</v>
      </c>
      <c r="AE36" s="5">
        <f>LN(AE12)</f>
        <v>4.4953553199808844</v>
      </c>
    </row>
    <row r="37" spans="1:42">
      <c r="A37" s="24"/>
      <c r="B37" s="5"/>
      <c r="C37" s="5">
        <f t="shared" ref="C37:R37" si="49">+(14.42*C36)+4.15</f>
        <v>79.950309900597716</v>
      </c>
      <c r="D37" s="5">
        <f t="shared" si="49"/>
        <v>79.164812772428064</v>
      </c>
      <c r="E37" s="5">
        <f t="shared" si="49"/>
        <v>81.040837132116607</v>
      </c>
      <c r="F37" s="5">
        <f t="shared" si="49"/>
        <v>69.396448868134499</v>
      </c>
      <c r="G37" s="5">
        <f t="shared" si="49"/>
        <v>62.800695131408894</v>
      </c>
      <c r="H37" s="5">
        <f t="shared" si="49"/>
        <v>53.621504171891345</v>
      </c>
      <c r="I37" s="5">
        <f t="shared" si="49"/>
        <v>56.978558937189497</v>
      </c>
      <c r="J37" s="5">
        <f t="shared" si="49"/>
        <v>55.41811904667734</v>
      </c>
      <c r="K37" s="5">
        <f t="shared" si="49"/>
        <v>59.483858202128459</v>
      </c>
      <c r="L37" s="5">
        <f t="shared" si="49"/>
        <v>58.183879383470696</v>
      </c>
      <c r="M37" s="5">
        <f t="shared" si="49"/>
        <v>63.709719096324825</v>
      </c>
      <c r="N37" s="5">
        <f t="shared" si="49"/>
        <v>60.846925623884772</v>
      </c>
      <c r="O37" s="5">
        <f t="shared" si="49"/>
        <v>63.756011270913007</v>
      </c>
      <c r="P37" s="5">
        <f t="shared" si="49"/>
        <v>57.451388182297023</v>
      </c>
      <c r="Q37" s="5">
        <f t="shared" si="49"/>
        <v>59.296176593952403</v>
      </c>
      <c r="R37" s="5">
        <f t="shared" si="49"/>
        <v>50.851743280210364</v>
      </c>
      <c r="S37" s="5">
        <f t="shared" ref="S37:X37" si="50">+(14.42*S36)+4.15</f>
        <v>52.506124871048137</v>
      </c>
      <c r="T37" s="5">
        <f t="shared" si="50"/>
        <v>63.523049822907645</v>
      </c>
      <c r="U37" s="5">
        <f t="shared" si="50"/>
        <v>60.299447281822843</v>
      </c>
      <c r="V37" s="5">
        <f t="shared" si="50"/>
        <v>56.904419956393461</v>
      </c>
      <c r="W37" s="5">
        <f t="shared" si="50"/>
        <v>61.988085786341578</v>
      </c>
      <c r="X37" s="5">
        <f t="shared" si="50"/>
        <v>70.147033659345396</v>
      </c>
      <c r="Y37" s="5">
        <f t="shared" ref="Y37:AD37" si="51">+(14.42*Y36)+4.15</f>
        <v>72.152076901603735</v>
      </c>
      <c r="Z37" s="5">
        <f t="shared" si="51"/>
        <v>58.945617893353521</v>
      </c>
      <c r="AA37" s="5">
        <f t="shared" si="51"/>
        <v>68.68038683924425</v>
      </c>
      <c r="AB37" s="5">
        <f t="shared" si="51"/>
        <v>69.832075740930392</v>
      </c>
      <c r="AC37" s="5">
        <f t="shared" si="51"/>
        <v>63.663277832350218</v>
      </c>
      <c r="AD37" s="5">
        <f t="shared" si="51"/>
        <v>63.616686515565767</v>
      </c>
      <c r="AE37" s="5">
        <f t="shared" ref="AE37" si="52">+(14.42*AE36)+4.15</f>
        <v>68.973023714124352</v>
      </c>
    </row>
    <row r="38" spans="1:42">
      <c r="A38" s="23"/>
      <c r="B38" s="23"/>
      <c r="C38" s="156">
        <v>1991</v>
      </c>
      <c r="D38" s="156">
        <v>1992</v>
      </c>
      <c r="E38" s="156">
        <v>1993</v>
      </c>
      <c r="F38" s="156">
        <v>1994</v>
      </c>
      <c r="G38" s="156">
        <v>1995</v>
      </c>
      <c r="H38" s="156">
        <v>1996</v>
      </c>
      <c r="I38" s="156">
        <v>1997</v>
      </c>
      <c r="J38" s="156">
        <v>1998</v>
      </c>
      <c r="K38" s="156">
        <v>1999</v>
      </c>
      <c r="L38" s="156">
        <v>2000</v>
      </c>
      <c r="M38" s="156">
        <v>2001</v>
      </c>
      <c r="N38" s="156">
        <v>2002</v>
      </c>
      <c r="O38" s="156">
        <v>2003</v>
      </c>
      <c r="P38" s="156">
        <v>2004</v>
      </c>
      <c r="Q38" s="156">
        <v>2005</v>
      </c>
      <c r="R38" s="156">
        <v>2006</v>
      </c>
      <c r="S38" s="156">
        <v>2007</v>
      </c>
      <c r="T38" s="156">
        <v>2008</v>
      </c>
      <c r="U38" s="156">
        <v>2009</v>
      </c>
      <c r="V38" s="156">
        <v>2010</v>
      </c>
      <c r="W38" s="156">
        <v>2011</v>
      </c>
      <c r="X38" s="156">
        <v>2012</v>
      </c>
      <c r="Y38" s="156">
        <v>2013</v>
      </c>
      <c r="Z38" s="156">
        <v>2014</v>
      </c>
      <c r="AA38" s="156">
        <v>2015</v>
      </c>
      <c r="AB38" s="263">
        <v>2016</v>
      </c>
      <c r="AC38" s="263">
        <v>2017</v>
      </c>
      <c r="AD38" s="263">
        <v>2018</v>
      </c>
      <c r="AE38" s="263">
        <v>2019</v>
      </c>
    </row>
    <row r="39" spans="1:42">
      <c r="C39">
        <f>AVERAGE(C37,C31,C34)</f>
        <v>57.974168699280114</v>
      </c>
      <c r="D39">
        <f t="shared" ref="D39:AE39" si="53">AVERAGE(D37,D31,D34)</f>
        <v>61.044107370954897</v>
      </c>
      <c r="E39">
        <f t="shared" si="53"/>
        <v>62.083167664011228</v>
      </c>
      <c r="F39">
        <f t="shared" si="53"/>
        <v>61.487265569974134</v>
      </c>
      <c r="G39">
        <f t="shared" si="53"/>
        <v>57.92951834427955</v>
      </c>
      <c r="H39">
        <f t="shared" si="53"/>
        <v>53.975841238330908</v>
      </c>
      <c r="I39">
        <f t="shared" si="53"/>
        <v>53.435718133535012</v>
      </c>
      <c r="J39">
        <f t="shared" si="53"/>
        <v>49.371855280700778</v>
      </c>
      <c r="K39">
        <f t="shared" si="53"/>
        <v>50.904302358205541</v>
      </c>
      <c r="L39">
        <f t="shared" si="53"/>
        <v>54.339987917209079</v>
      </c>
      <c r="M39">
        <f t="shared" si="53"/>
        <v>57.759224255437537</v>
      </c>
      <c r="N39">
        <f t="shared" si="53"/>
        <v>55.556119488978311</v>
      </c>
      <c r="O39">
        <f t="shared" si="53"/>
        <v>58.735529951742912</v>
      </c>
      <c r="P39">
        <f t="shared" si="53"/>
        <v>53.019062124775537</v>
      </c>
      <c r="Q39">
        <f t="shared" si="53"/>
        <v>56.959189884506621</v>
      </c>
      <c r="R39">
        <f t="shared" si="53"/>
        <v>51.382721957747123</v>
      </c>
      <c r="S39">
        <f t="shared" si="53"/>
        <v>49.42158492671539</v>
      </c>
      <c r="T39">
        <f t="shared" si="53"/>
        <v>60.055490460292823</v>
      </c>
      <c r="U39">
        <f t="shared" si="53"/>
        <v>57.771922969263748</v>
      </c>
      <c r="V39">
        <f t="shared" si="53"/>
        <v>55.8091919353976</v>
      </c>
      <c r="W39">
        <f t="shared" si="53"/>
        <v>54.26039610905358</v>
      </c>
      <c r="X39">
        <f t="shared" si="53"/>
        <v>62.436800570003612</v>
      </c>
      <c r="Y39">
        <f t="shared" si="53"/>
        <v>64.325220193307089</v>
      </c>
      <c r="Z39">
        <f t="shared" si="53"/>
        <v>55.398885311993162</v>
      </c>
      <c r="AA39">
        <f t="shared" si="53"/>
        <v>62.845051870736228</v>
      </c>
      <c r="AB39">
        <f t="shared" si="53"/>
        <v>64.240158161701729</v>
      </c>
      <c r="AC39">
        <f t="shared" si="53"/>
        <v>58.468952361624019</v>
      </c>
      <c r="AD39">
        <f t="shared" si="53"/>
        <v>59.256889443430772</v>
      </c>
      <c r="AE39">
        <f t="shared" si="53"/>
        <v>60.285143491589992</v>
      </c>
    </row>
    <row r="42" spans="1:42" ht="21">
      <c r="Z42" s="1273" t="s">
        <v>105</v>
      </c>
    </row>
    <row r="43" spans="1:42" ht="31.5">
      <c r="Z43" s="1273" t="s">
        <v>63</v>
      </c>
    </row>
    <row r="44" spans="1:42">
      <c r="Z44" s="1273" t="s">
        <v>103</v>
      </c>
    </row>
    <row r="60" spans="1:3" ht="20.399999999999999" customHeight="1">
      <c r="A60" s="34" t="s">
        <v>127</v>
      </c>
      <c r="B60" s="2252" t="s">
        <v>128</v>
      </c>
      <c r="C60" s="2252"/>
    </row>
    <row r="61" spans="1:3">
      <c r="A61" s="34" t="s">
        <v>54</v>
      </c>
      <c r="B61" s="2252" t="s">
        <v>129</v>
      </c>
      <c r="C61" s="2252"/>
    </row>
    <row r="62" spans="1:3" ht="20.399999999999999" customHeight="1">
      <c r="A62" s="34" t="s">
        <v>92</v>
      </c>
      <c r="B62" s="2252" t="s">
        <v>93</v>
      </c>
      <c r="C62" s="2252"/>
    </row>
    <row r="63" spans="1:3" ht="20.399999999999999" customHeight="1">
      <c r="A63" s="34" t="s">
        <v>56</v>
      </c>
      <c r="B63" s="2252" t="s">
        <v>57</v>
      </c>
      <c r="C63" s="2252"/>
    </row>
    <row r="64" spans="1:3" ht="20.399999999999999" customHeight="1">
      <c r="A64" s="34" t="s">
        <v>90</v>
      </c>
      <c r="B64" s="2252" t="s">
        <v>91</v>
      </c>
      <c r="C64" s="2252"/>
    </row>
    <row r="65" spans="1:3" ht="20.399999999999999" customHeight="1">
      <c r="A65" s="34" t="s">
        <v>130</v>
      </c>
      <c r="B65" s="2252" t="s">
        <v>78</v>
      </c>
      <c r="C65" s="2252"/>
    </row>
  </sheetData>
  <mergeCells count="19">
    <mergeCell ref="AS24:AT24"/>
    <mergeCell ref="AJ29:AL29"/>
    <mergeCell ref="AK33:AL33"/>
    <mergeCell ref="AR18:AT18"/>
    <mergeCell ref="AS19:AT19"/>
    <mergeCell ref="AS20:AT20"/>
    <mergeCell ref="AS21:AT21"/>
    <mergeCell ref="AS22:AT22"/>
    <mergeCell ref="AS23:AT23"/>
    <mergeCell ref="A1:N1"/>
    <mergeCell ref="A10:N10"/>
    <mergeCell ref="A18:N18"/>
    <mergeCell ref="A29:N29"/>
    <mergeCell ref="B60:C60"/>
    <mergeCell ref="B61:C61"/>
    <mergeCell ref="B62:C62"/>
    <mergeCell ref="B63:C63"/>
    <mergeCell ref="B64:C64"/>
    <mergeCell ref="B65:C65"/>
  </mergeCells>
  <phoneticPr fontId="11" type="noConversion"/>
  <pageMargins left="0.75" right="0.75" top="1" bottom="1" header="0.5" footer="0.5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R90"/>
  <sheetViews>
    <sheetView topLeftCell="Q32" workbookViewId="0">
      <selection activeCell="BE34" sqref="BE34"/>
    </sheetView>
  </sheetViews>
  <sheetFormatPr defaultRowHeight="14"/>
  <cols>
    <col min="1" max="1" width="8.1796875" bestFit="1" customWidth="1"/>
    <col min="2" max="2" width="5.54296875" customWidth="1"/>
    <col min="3" max="6" width="5.54296875" bestFit="1" customWidth="1"/>
    <col min="7" max="7" width="7" bestFit="1" customWidth="1"/>
    <col min="8" max="14" width="5.54296875" bestFit="1" customWidth="1"/>
    <col min="15" max="21" width="5.54296875" customWidth="1"/>
    <col min="22" max="22" width="5.36328125" bestFit="1" customWidth="1"/>
    <col min="23" max="23" width="6.1796875" customWidth="1"/>
    <col min="24" max="24" width="6.08984375" customWidth="1"/>
    <col min="25" max="31" width="5.54296875" customWidth="1"/>
    <col min="32" max="32" width="5.54296875" style="1969" customWidth="1"/>
    <col min="33" max="33" width="5" customWidth="1"/>
    <col min="34" max="34" width="6.54296875" customWidth="1"/>
    <col min="35" max="35" width="7.1796875" bestFit="1" customWidth="1"/>
    <col min="36" max="38" width="6.54296875" customWidth="1"/>
    <col min="39" max="39" width="7.1796875" bestFit="1" customWidth="1"/>
    <col min="40" max="44" width="6.54296875" customWidth="1"/>
    <col min="45" max="45" width="7.1796875" bestFit="1" customWidth="1"/>
    <col min="46" max="46" width="6.54296875" customWidth="1"/>
    <col min="47" max="47" width="7.1796875" bestFit="1" customWidth="1"/>
    <col min="48" max="49" width="6.54296875" bestFit="1" customWidth="1"/>
    <col min="50" max="52" width="5.54296875" bestFit="1" customWidth="1"/>
    <col min="53" max="53" width="6.54296875" bestFit="1" customWidth="1"/>
    <col min="54" max="56" width="5.54296875" bestFit="1" customWidth="1"/>
    <col min="57" max="57" width="6.90625" bestFit="1" customWidth="1"/>
    <col min="58" max="58" width="6.54296875" bestFit="1" customWidth="1"/>
    <col min="59" max="59" width="10" customWidth="1"/>
  </cols>
  <sheetData>
    <row r="1" spans="1:70">
      <c r="AG1" s="2260" t="s">
        <v>43</v>
      </c>
      <c r="AH1" s="2260"/>
      <c r="AI1" s="2260"/>
      <c r="AJ1" s="2260"/>
      <c r="AK1" s="2260"/>
      <c r="AL1" s="2260"/>
      <c r="AM1" s="2260"/>
      <c r="AN1" s="2260"/>
      <c r="AO1" s="2260"/>
      <c r="AP1" s="2260"/>
      <c r="AQ1" s="2260"/>
      <c r="AR1" s="2260"/>
      <c r="AS1" s="2260"/>
      <c r="AT1" s="2260"/>
    </row>
    <row r="2" spans="1:70">
      <c r="A2" s="2260" t="s">
        <v>35</v>
      </c>
      <c r="B2" s="2260"/>
      <c r="C2" s="2260"/>
      <c r="D2" s="2260"/>
      <c r="E2" s="2260"/>
      <c r="F2" s="2260"/>
      <c r="G2" s="2260"/>
      <c r="H2" s="2260"/>
      <c r="I2" s="2260"/>
      <c r="J2" s="2260"/>
      <c r="K2" s="2260"/>
      <c r="L2" s="2260"/>
      <c r="M2" s="2260"/>
      <c r="N2" s="2260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1393"/>
      <c r="AE2" s="81"/>
      <c r="AF2" s="2174"/>
      <c r="AG2" s="23"/>
      <c r="AH2" s="156">
        <v>1988</v>
      </c>
      <c r="AI2" s="156">
        <v>1991</v>
      </c>
      <c r="AJ2" s="156">
        <v>1992</v>
      </c>
      <c r="AK2" s="156">
        <v>1993</v>
      </c>
      <c r="AL2" s="156">
        <v>1994</v>
      </c>
      <c r="AM2" s="156">
        <v>1995</v>
      </c>
      <c r="AN2" s="156">
        <v>1996</v>
      </c>
      <c r="AO2" s="156">
        <v>1997</v>
      </c>
      <c r="AP2" s="156">
        <v>1998</v>
      </c>
      <c r="AQ2" s="156">
        <v>1999</v>
      </c>
      <c r="AR2" s="156">
        <v>2000</v>
      </c>
      <c r="AS2" s="156">
        <v>2001</v>
      </c>
      <c r="AT2" s="156">
        <v>2002</v>
      </c>
      <c r="AU2" s="156">
        <v>2003</v>
      </c>
      <c r="AV2" s="156">
        <v>2004</v>
      </c>
      <c r="AW2" s="156">
        <v>2005</v>
      </c>
      <c r="AX2" s="156">
        <v>2006</v>
      </c>
      <c r="AY2" s="156">
        <v>2007</v>
      </c>
      <c r="AZ2" s="156">
        <v>2008</v>
      </c>
      <c r="BA2" s="156">
        <v>2009</v>
      </c>
      <c r="BB2" s="156">
        <v>2010</v>
      </c>
      <c r="BC2" s="156">
        <v>2011</v>
      </c>
      <c r="BD2" s="156">
        <v>2012</v>
      </c>
      <c r="BE2" s="156">
        <v>2013</v>
      </c>
      <c r="BF2" s="156">
        <v>2014</v>
      </c>
      <c r="BG2" s="156">
        <v>2015</v>
      </c>
      <c r="BH2" s="263">
        <v>2016</v>
      </c>
      <c r="BI2" s="263">
        <v>2017</v>
      </c>
      <c r="BJ2" s="263">
        <v>2018</v>
      </c>
      <c r="BK2" s="263">
        <v>2019</v>
      </c>
    </row>
    <row r="3" spans="1:70" ht="15.5">
      <c r="A3" s="23"/>
      <c r="B3" s="156">
        <v>1988</v>
      </c>
      <c r="C3" s="156">
        <v>1991</v>
      </c>
      <c r="D3" s="156">
        <v>1992</v>
      </c>
      <c r="E3" s="156">
        <v>1993</v>
      </c>
      <c r="F3" s="156">
        <v>1994</v>
      </c>
      <c r="G3" s="156">
        <v>1995</v>
      </c>
      <c r="H3" s="156">
        <v>1996</v>
      </c>
      <c r="I3" s="156">
        <v>1997</v>
      </c>
      <c r="J3" s="156">
        <v>1998</v>
      </c>
      <c r="K3" s="156">
        <v>1999</v>
      </c>
      <c r="L3" s="156">
        <v>2000</v>
      </c>
      <c r="M3" s="156">
        <v>2001</v>
      </c>
      <c r="N3" s="156">
        <v>2002</v>
      </c>
      <c r="O3" s="156">
        <v>2003</v>
      </c>
      <c r="P3" s="156">
        <v>2004</v>
      </c>
      <c r="Q3" s="156">
        <v>2005</v>
      </c>
      <c r="R3" s="156">
        <v>2006</v>
      </c>
      <c r="S3" s="156">
        <v>2007</v>
      </c>
      <c r="T3" s="156">
        <v>2008</v>
      </c>
      <c r="U3" s="156">
        <v>2009</v>
      </c>
      <c r="V3" s="156">
        <v>2010</v>
      </c>
      <c r="W3" s="156">
        <v>2011</v>
      </c>
      <c r="X3" s="156">
        <v>2012</v>
      </c>
      <c r="Y3" s="156">
        <v>2013</v>
      </c>
      <c r="Z3" s="156">
        <v>2014</v>
      </c>
      <c r="AA3" s="156">
        <v>2015</v>
      </c>
      <c r="AB3" s="156">
        <v>2016</v>
      </c>
      <c r="AC3" s="156">
        <v>2017</v>
      </c>
      <c r="AD3" s="263">
        <v>2018</v>
      </c>
      <c r="AE3" s="1775">
        <v>2019</v>
      </c>
      <c r="AF3" s="2176"/>
      <c r="AG3" s="25" t="s">
        <v>1880</v>
      </c>
      <c r="AH3" s="5">
        <f t="shared" ref="AH3:BK3" si="0">LN(B6)</f>
        <v>2.0110862220155639</v>
      </c>
      <c r="AI3" s="5">
        <f t="shared" si="0"/>
        <v>3.0549441331858369</v>
      </c>
      <c r="AJ3" s="5">
        <f t="shared" si="0"/>
        <v>2.9449651565003379</v>
      </c>
      <c r="AK3" s="5">
        <f t="shared" si="0"/>
        <v>2.1860512767380942</v>
      </c>
      <c r="AL3" s="5">
        <f t="shared" si="0"/>
        <v>3.0170044088295307</v>
      </c>
      <c r="AM3" s="5">
        <f t="shared" si="0"/>
        <v>1.6272778305624314</v>
      </c>
      <c r="AN3" s="5">
        <f t="shared" si="0"/>
        <v>2.8390784635086144</v>
      </c>
      <c r="AO3" s="5">
        <f t="shared" si="0"/>
        <v>2.1041341542702074</v>
      </c>
      <c r="AP3" s="5">
        <f t="shared" si="0"/>
        <v>1.4586150226995167</v>
      </c>
      <c r="AQ3" s="5">
        <f t="shared" si="0"/>
        <v>1.7578579175523736</v>
      </c>
      <c r="AR3" s="5">
        <f t="shared" si="0"/>
        <v>2.6461747973841225</v>
      </c>
      <c r="AS3" s="5">
        <f t="shared" si="0"/>
        <v>3.202746442938317</v>
      </c>
      <c r="AT3" s="5">
        <f t="shared" si="0"/>
        <v>2.7343675094195836</v>
      </c>
      <c r="AU3" s="5">
        <f t="shared" si="0"/>
        <v>2.6946271807700692</v>
      </c>
      <c r="AV3" s="5">
        <f t="shared" si="0"/>
        <v>1.8870696490323797</v>
      </c>
      <c r="AW3" s="5">
        <f t="shared" si="0"/>
        <v>2.7343675094195836</v>
      </c>
      <c r="AX3" s="5">
        <f t="shared" si="0"/>
        <v>2.2082744135228043</v>
      </c>
      <c r="AY3" s="5">
        <f t="shared" si="0"/>
        <v>2.2300144001592104</v>
      </c>
      <c r="AZ3" s="5">
        <f t="shared" si="0"/>
        <v>2.8507065015037334</v>
      </c>
      <c r="BA3" s="5">
        <f t="shared" si="0"/>
        <v>2.5257286443082556</v>
      </c>
      <c r="BB3" s="5">
        <f t="shared" si="0"/>
        <v>2.3608540011180215</v>
      </c>
      <c r="BC3" s="5">
        <f t="shared" si="0"/>
        <v>2.379546134130174</v>
      </c>
      <c r="BD3" s="5">
        <f t="shared" si="0"/>
        <v>2.7013612129514133</v>
      </c>
      <c r="BE3" s="5">
        <f t="shared" si="0"/>
        <v>2.6810215287142909</v>
      </c>
      <c r="BF3" s="5">
        <f t="shared" si="0"/>
        <v>1.6677068205580761</v>
      </c>
      <c r="BG3" s="5">
        <f t="shared" si="0"/>
        <v>2.5802168295923251</v>
      </c>
      <c r="BH3" s="5">
        <f t="shared" si="0"/>
        <v>2.3125354238472138</v>
      </c>
      <c r="BI3" s="5">
        <f t="shared" si="0"/>
        <v>2.5494451709255714</v>
      </c>
      <c r="BJ3" s="5">
        <f t="shared" si="0"/>
        <v>2.7972813348301528</v>
      </c>
      <c r="BK3" s="5">
        <f t="shared" si="0"/>
        <v>2.6946271807700692</v>
      </c>
    </row>
    <row r="4" spans="1:70" ht="15.5">
      <c r="A4" s="23" t="s">
        <v>27</v>
      </c>
      <c r="B4" s="2">
        <v>166</v>
      </c>
      <c r="C4" s="2">
        <v>184.16</v>
      </c>
      <c r="D4" s="2">
        <v>162.26</v>
      </c>
      <c r="E4" s="2">
        <v>167.91</v>
      </c>
      <c r="F4" s="2">
        <v>87.03</v>
      </c>
      <c r="G4" s="2">
        <v>40.909999999999997</v>
      </c>
      <c r="H4" s="2">
        <v>29.44</v>
      </c>
      <c r="I4" s="2">
        <v>37.700000000000003</v>
      </c>
      <c r="J4" s="2">
        <v>36.5</v>
      </c>
      <c r="K4" s="2">
        <v>41.6</v>
      </c>
      <c r="L4" s="2">
        <v>60</v>
      </c>
      <c r="M4" s="2">
        <v>49.8</v>
      </c>
      <c r="N4" s="2">
        <v>50.2</v>
      </c>
      <c r="O4" s="2">
        <v>49.5</v>
      </c>
      <c r="P4" s="2">
        <v>31.9</v>
      </c>
      <c r="Q4" s="2">
        <v>39.200000000000003</v>
      </c>
      <c r="R4" s="2">
        <v>24</v>
      </c>
      <c r="S4" s="2">
        <v>30.7</v>
      </c>
      <c r="T4" s="2">
        <v>50.6</v>
      </c>
      <c r="U4" s="2">
        <v>34.799999999999997</v>
      </c>
      <c r="V4" s="2">
        <v>33.6</v>
      </c>
      <c r="W4" s="2">
        <v>40.799999999999997</v>
      </c>
      <c r="X4" s="2">
        <v>61.6</v>
      </c>
      <c r="Y4" s="2">
        <v>65.599999999999994</v>
      </c>
      <c r="Z4" s="2">
        <v>30.5</v>
      </c>
      <c r="AA4" s="2">
        <v>55.5</v>
      </c>
      <c r="AB4" s="2">
        <v>63.1</v>
      </c>
      <c r="AC4" s="2">
        <v>45</v>
      </c>
      <c r="AD4" s="2">
        <v>44.6</v>
      </c>
      <c r="AE4" s="2">
        <v>65.099999999999994</v>
      </c>
      <c r="AF4" s="2"/>
      <c r="AG4" s="25"/>
      <c r="AH4" s="5">
        <f>20+(14.42*AH3)</f>
        <v>48.999863321464431</v>
      </c>
      <c r="AI4" s="5">
        <f t="shared" ref="AI4:AW4" si="1">20+(14.42*AI3)</f>
        <v>64.052294400539765</v>
      </c>
      <c r="AJ4" s="5">
        <f t="shared" si="1"/>
        <v>62.466397556734869</v>
      </c>
      <c r="AK4" s="5">
        <f t="shared" si="1"/>
        <v>51.522859410563314</v>
      </c>
      <c r="AL4" s="5">
        <f t="shared" si="1"/>
        <v>63.505203575321829</v>
      </c>
      <c r="AM4" s="5">
        <f t="shared" si="1"/>
        <v>43.46534631671026</v>
      </c>
      <c r="AN4" s="5">
        <f t="shared" si="1"/>
        <v>60.939511443794217</v>
      </c>
      <c r="AO4" s="5">
        <f t="shared" si="1"/>
        <v>50.341614504576391</v>
      </c>
      <c r="AP4" s="5">
        <f t="shared" si="1"/>
        <v>41.033228627327034</v>
      </c>
      <c r="AQ4" s="5">
        <f t="shared" si="1"/>
        <v>45.348311171105223</v>
      </c>
      <c r="AR4" s="5">
        <f t="shared" si="1"/>
        <v>58.15784057827905</v>
      </c>
      <c r="AS4" s="5">
        <f t="shared" si="1"/>
        <v>66.183603707170533</v>
      </c>
      <c r="AT4" s="5">
        <f t="shared" si="1"/>
        <v>59.429579485830395</v>
      </c>
      <c r="AU4" s="5">
        <f t="shared" si="1"/>
        <v>58.856523946704399</v>
      </c>
      <c r="AV4" s="5">
        <f t="shared" si="1"/>
        <v>47.211544339046917</v>
      </c>
      <c r="AW4" s="5">
        <f t="shared" si="1"/>
        <v>59.429579485830395</v>
      </c>
      <c r="AX4" s="5">
        <f t="shared" ref="AX4:BC4" si="2">20+(14.42*AX3)</f>
        <v>51.843317042998834</v>
      </c>
      <c r="AY4" s="5">
        <f t="shared" si="2"/>
        <v>52.156807650295811</v>
      </c>
      <c r="AZ4" s="5">
        <f t="shared" si="2"/>
        <v>61.107187751683838</v>
      </c>
      <c r="BA4" s="5">
        <f t="shared" si="2"/>
        <v>56.421007050925049</v>
      </c>
      <c r="BB4" s="5">
        <f t="shared" si="2"/>
        <v>54.043514696121868</v>
      </c>
      <c r="BC4" s="5">
        <f t="shared" si="2"/>
        <v>54.313055254157106</v>
      </c>
      <c r="BD4" s="5">
        <f t="shared" ref="BD4:BI4" si="3">20+(14.42*BD3)</f>
        <v>58.953628690759381</v>
      </c>
      <c r="BE4" s="5">
        <f t="shared" si="3"/>
        <v>58.660330444060072</v>
      </c>
      <c r="BF4" s="5">
        <f t="shared" si="3"/>
        <v>44.04833235244746</v>
      </c>
      <c r="BG4" s="5">
        <f t="shared" si="3"/>
        <v>57.206726682721325</v>
      </c>
      <c r="BH4" s="5">
        <f t="shared" si="3"/>
        <v>53.34676081187682</v>
      </c>
      <c r="BI4" s="5">
        <f t="shared" si="3"/>
        <v>56.76299936474674</v>
      </c>
      <c r="BJ4" s="5">
        <f t="shared" ref="BJ4:BK4" si="4">20+(14.42*BJ3)</f>
        <v>60.336796848250806</v>
      </c>
      <c r="BK4" s="5">
        <f t="shared" si="4"/>
        <v>58.856523946704399</v>
      </c>
    </row>
    <row r="5" spans="1:70" ht="15.5">
      <c r="A5" s="23" t="s">
        <v>28</v>
      </c>
      <c r="B5" s="2">
        <v>255.14285714285714</v>
      </c>
      <c r="C5" s="2">
        <v>349.27</v>
      </c>
      <c r="D5" s="2">
        <v>266.27</v>
      </c>
      <c r="E5" s="2">
        <v>442.5</v>
      </c>
      <c r="F5" s="2">
        <v>348.74</v>
      </c>
      <c r="G5" s="2">
        <v>492.7</v>
      </c>
      <c r="H5" s="2">
        <v>577.75</v>
      </c>
      <c r="I5" s="2">
        <v>393</v>
      </c>
      <c r="J5" s="2">
        <v>368</v>
      </c>
      <c r="K5" s="2">
        <v>402</v>
      </c>
      <c r="L5" s="2">
        <v>441</v>
      </c>
      <c r="M5" s="2">
        <v>387</v>
      </c>
      <c r="N5" s="2">
        <v>282</v>
      </c>
      <c r="O5" s="2">
        <v>266</v>
      </c>
      <c r="P5" s="2">
        <v>47</v>
      </c>
      <c r="Q5" s="2">
        <v>207</v>
      </c>
      <c r="R5" s="2">
        <v>153</v>
      </c>
      <c r="S5" s="2">
        <v>229</v>
      </c>
      <c r="T5" s="2">
        <v>232</v>
      </c>
      <c r="U5" s="2">
        <v>267</v>
      </c>
      <c r="V5" s="2">
        <v>254</v>
      </c>
      <c r="W5" s="2">
        <v>172</v>
      </c>
      <c r="X5" s="2">
        <v>134</v>
      </c>
      <c r="Y5" s="2">
        <v>153</v>
      </c>
      <c r="Z5" s="4">
        <v>291</v>
      </c>
      <c r="AA5" s="4">
        <v>352</v>
      </c>
      <c r="AB5" s="4">
        <v>784</v>
      </c>
      <c r="AC5" s="4">
        <v>771</v>
      </c>
      <c r="AD5" s="4">
        <v>810</v>
      </c>
      <c r="AE5" s="4">
        <v>872</v>
      </c>
      <c r="AF5" s="4"/>
      <c r="AG5" s="2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</row>
    <row r="6" spans="1:70" ht="15.5">
      <c r="A6" s="23" t="s">
        <v>29</v>
      </c>
      <c r="B6" s="2">
        <v>7.4714285714285706</v>
      </c>
      <c r="C6" s="2">
        <v>21.22</v>
      </c>
      <c r="D6" s="2">
        <v>19.010000000000002</v>
      </c>
      <c r="E6" s="2">
        <v>8.9</v>
      </c>
      <c r="F6" s="2">
        <v>20.43</v>
      </c>
      <c r="G6" s="2">
        <v>5.09</v>
      </c>
      <c r="H6" s="2">
        <v>17.100000000000001</v>
      </c>
      <c r="I6" s="2">
        <v>8.1999999999999993</v>
      </c>
      <c r="J6" s="2">
        <v>4.3</v>
      </c>
      <c r="K6" s="2">
        <v>5.8</v>
      </c>
      <c r="L6" s="2">
        <v>14.1</v>
      </c>
      <c r="M6" s="2">
        <v>24.6</v>
      </c>
      <c r="N6" s="2">
        <v>15.4</v>
      </c>
      <c r="O6" s="2">
        <v>14.8</v>
      </c>
      <c r="P6" s="2">
        <v>6.6</v>
      </c>
      <c r="Q6" s="2">
        <v>15.4</v>
      </c>
      <c r="R6" s="2">
        <v>9.1</v>
      </c>
      <c r="S6" s="2">
        <v>9.3000000000000007</v>
      </c>
      <c r="T6" s="2">
        <v>17.3</v>
      </c>
      <c r="U6" s="2">
        <v>12.5</v>
      </c>
      <c r="V6" s="2">
        <v>10.6</v>
      </c>
      <c r="W6" s="2">
        <v>10.8</v>
      </c>
      <c r="X6" s="2">
        <v>14.9</v>
      </c>
      <c r="Y6" s="2">
        <v>14.6</v>
      </c>
      <c r="Z6" s="2">
        <v>5.3</v>
      </c>
      <c r="AA6" s="2">
        <v>13.2</v>
      </c>
      <c r="AB6" s="2">
        <v>10.1</v>
      </c>
      <c r="AC6" s="2">
        <v>12.8</v>
      </c>
      <c r="AD6" s="2">
        <v>16.399999999999999</v>
      </c>
      <c r="AE6" s="2">
        <v>14.8</v>
      </c>
      <c r="AF6" s="2"/>
      <c r="AG6" s="25" t="s">
        <v>38</v>
      </c>
      <c r="AH6" s="5">
        <f t="shared" ref="AH6:BK6" si="5">LN(B4)</f>
        <v>5.1119877883565437</v>
      </c>
      <c r="AI6" s="5">
        <f t="shared" si="5"/>
        <v>5.2158049449735726</v>
      </c>
      <c r="AJ6" s="5">
        <f t="shared" si="5"/>
        <v>5.0891999869669187</v>
      </c>
      <c r="AK6" s="5">
        <f t="shared" si="5"/>
        <v>5.1234281215713775</v>
      </c>
      <c r="AL6" s="5">
        <f t="shared" si="5"/>
        <v>4.4662528868014224</v>
      </c>
      <c r="AM6" s="5">
        <f t="shared" si="5"/>
        <v>3.7113745319413072</v>
      </c>
      <c r="AN6" s="5">
        <f t="shared" si="5"/>
        <v>3.3823542938606757</v>
      </c>
      <c r="AO6" s="5">
        <f t="shared" si="5"/>
        <v>3.629660094453965</v>
      </c>
      <c r="AP6" s="5">
        <f t="shared" si="5"/>
        <v>3.597312260588446</v>
      </c>
      <c r="AQ6" s="5">
        <f t="shared" si="5"/>
        <v>3.7281001672672178</v>
      </c>
      <c r="AR6" s="5">
        <f t="shared" si="5"/>
        <v>4.0943445622221004</v>
      </c>
      <c r="AS6" s="5">
        <f t="shared" si="5"/>
        <v>3.9080149840306073</v>
      </c>
      <c r="AT6" s="5">
        <f t="shared" si="5"/>
        <v>3.9160150266976834</v>
      </c>
      <c r="AU6" s="5">
        <f t="shared" si="5"/>
        <v>3.9019726695746448</v>
      </c>
      <c r="AV6" s="5">
        <f t="shared" si="5"/>
        <v>3.4626060097907989</v>
      </c>
      <c r="AW6" s="5">
        <f t="shared" si="5"/>
        <v>3.6686767467964168</v>
      </c>
      <c r="AX6" s="5">
        <f t="shared" si="5"/>
        <v>3.1780538303479458</v>
      </c>
      <c r="AY6" s="5">
        <f t="shared" si="5"/>
        <v>3.4242626545931514</v>
      </c>
      <c r="AZ6" s="5">
        <f t="shared" si="5"/>
        <v>3.9239515762934198</v>
      </c>
      <c r="BA6" s="5">
        <f t="shared" si="5"/>
        <v>3.5496173867804286</v>
      </c>
      <c r="BB6" s="5">
        <f t="shared" si="5"/>
        <v>3.5145260669691587</v>
      </c>
      <c r="BC6" s="5">
        <f t="shared" si="5"/>
        <v>3.708682081410116</v>
      </c>
      <c r="BD6" s="5">
        <f t="shared" si="5"/>
        <v>4.1206618705394744</v>
      </c>
      <c r="BE6" s="5">
        <f t="shared" si="5"/>
        <v>4.1835756959500436</v>
      </c>
      <c r="BF6" s="5">
        <f t="shared" si="5"/>
        <v>3.417726683613366</v>
      </c>
      <c r="BG6" s="5">
        <f t="shared" si="5"/>
        <v>4.0163830207523885</v>
      </c>
      <c r="BH6" s="5">
        <f t="shared" si="5"/>
        <v>4.1447207695471677</v>
      </c>
      <c r="BI6" s="5">
        <f t="shared" si="5"/>
        <v>3.8066624897703196</v>
      </c>
      <c r="BJ6" s="5">
        <f t="shared" si="5"/>
        <v>3.7977338590260183</v>
      </c>
      <c r="BK6" s="5">
        <f t="shared" si="5"/>
        <v>4.1759245492145238</v>
      </c>
    </row>
    <row r="7" spans="1:70" ht="15.5">
      <c r="A7" s="23" t="s">
        <v>30</v>
      </c>
      <c r="B7" s="2">
        <v>14</v>
      </c>
      <c r="C7" s="2">
        <v>69.67</v>
      </c>
      <c r="D7" s="2">
        <v>65.67</v>
      </c>
      <c r="E7" s="2">
        <v>32</v>
      </c>
      <c r="F7" s="2">
        <v>69.5</v>
      </c>
      <c r="G7" s="2">
        <v>36.85</v>
      </c>
      <c r="H7" s="2">
        <v>97.3</v>
      </c>
      <c r="I7" s="2">
        <v>31.7</v>
      </c>
      <c r="J7" s="2">
        <v>41.1</v>
      </c>
      <c r="K7" s="2">
        <v>36.700000000000003</v>
      </c>
      <c r="L7" s="2">
        <v>104.9</v>
      </c>
      <c r="M7" s="2">
        <v>69.7</v>
      </c>
      <c r="N7" s="2">
        <v>43.7</v>
      </c>
      <c r="O7" s="2">
        <v>37.700000000000003</v>
      </c>
      <c r="P7" s="2">
        <v>15.2</v>
      </c>
      <c r="Q7" s="2">
        <v>75.5</v>
      </c>
      <c r="R7" s="2">
        <v>28.7</v>
      </c>
      <c r="S7" s="2">
        <v>50.8</v>
      </c>
      <c r="T7" s="2">
        <v>73.900000000000006</v>
      </c>
      <c r="U7" s="2">
        <v>80.400000000000006</v>
      </c>
      <c r="V7" s="2">
        <v>24.1</v>
      </c>
      <c r="W7" s="2">
        <v>17.399999999999999</v>
      </c>
      <c r="X7" s="2">
        <v>52.9</v>
      </c>
      <c r="Y7" s="2">
        <v>54.3</v>
      </c>
      <c r="Z7" s="2">
        <v>18.3</v>
      </c>
      <c r="AA7" s="2">
        <v>45.7</v>
      </c>
      <c r="AB7" s="2">
        <v>23.9</v>
      </c>
      <c r="AC7" s="2">
        <v>44.2</v>
      </c>
      <c r="AD7" s="2">
        <v>44.5</v>
      </c>
      <c r="AE7" s="2">
        <v>31</v>
      </c>
      <c r="AF7" s="2"/>
      <c r="AG7" s="25"/>
      <c r="AH7" s="5">
        <f>20.02*AH6</f>
        <v>102.341995522898</v>
      </c>
      <c r="AI7" s="5">
        <f t="shared" ref="AI7:BA7" si="6">20.02*AI6</f>
        <v>104.42041499837092</v>
      </c>
      <c r="AJ7" s="5">
        <f t="shared" si="6"/>
        <v>101.88578373907771</v>
      </c>
      <c r="AK7" s="5">
        <f t="shared" si="6"/>
        <v>102.57103099385897</v>
      </c>
      <c r="AL7" s="5">
        <f t="shared" si="6"/>
        <v>89.414382793764474</v>
      </c>
      <c r="AM7" s="5">
        <f t="shared" si="6"/>
        <v>74.301718129464973</v>
      </c>
      <c r="AN7" s="5">
        <f t="shared" si="6"/>
        <v>67.714732963090725</v>
      </c>
      <c r="AO7" s="5">
        <f t="shared" si="6"/>
        <v>72.665795090968373</v>
      </c>
      <c r="AP7" s="5">
        <f t="shared" si="6"/>
        <v>72.018191456980688</v>
      </c>
      <c r="AQ7" s="5">
        <f t="shared" si="6"/>
        <v>74.6365653486897</v>
      </c>
      <c r="AR7" s="5">
        <f t="shared" si="6"/>
        <v>81.968778135686449</v>
      </c>
      <c r="AS7" s="5">
        <f t="shared" si="6"/>
        <v>78.23845998029276</v>
      </c>
      <c r="AT7" s="5">
        <f t="shared" si="6"/>
        <v>78.398620834487616</v>
      </c>
      <c r="AU7" s="5">
        <f t="shared" si="6"/>
        <v>78.117492844884381</v>
      </c>
      <c r="AV7" s="5">
        <f t="shared" si="6"/>
        <v>69.321372316011789</v>
      </c>
      <c r="AW7" s="5">
        <f t="shared" si="6"/>
        <v>73.446908470864258</v>
      </c>
      <c r="AX7" s="5">
        <f t="shared" si="6"/>
        <v>63.624637683565872</v>
      </c>
      <c r="AY7" s="5">
        <f t="shared" si="6"/>
        <v>68.553738344954894</v>
      </c>
      <c r="AZ7" s="5">
        <f t="shared" si="6"/>
        <v>78.557510557394266</v>
      </c>
      <c r="BA7" s="5">
        <f t="shared" si="6"/>
        <v>71.063340083344173</v>
      </c>
      <c r="BB7" s="5">
        <f t="shared" ref="BB7:BG7" si="7">20.02*BB6</f>
        <v>70.360811860722549</v>
      </c>
      <c r="BC7" s="5">
        <f t="shared" si="7"/>
        <v>74.247815269830525</v>
      </c>
      <c r="BD7" s="5">
        <f t="shared" si="7"/>
        <v>82.495650648200282</v>
      </c>
      <c r="BE7" s="5">
        <f t="shared" si="7"/>
        <v>83.755185432919873</v>
      </c>
      <c r="BF7" s="5">
        <f t="shared" si="7"/>
        <v>68.422888205939586</v>
      </c>
      <c r="BG7" s="5">
        <f t="shared" si="7"/>
        <v>80.407988075462811</v>
      </c>
      <c r="BH7" s="5">
        <f>20.02*BH6</f>
        <v>82.97730980633429</v>
      </c>
      <c r="BI7" s="5">
        <f>20.02*BI6</f>
        <v>76.209383045201804</v>
      </c>
      <c r="BJ7" s="5">
        <f>20.02*BJ6</f>
        <v>76.030631857700882</v>
      </c>
      <c r="BK7" s="5">
        <f>20.02*BK6</f>
        <v>83.60200947527477</v>
      </c>
    </row>
    <row r="8" spans="1:70" ht="15.5">
      <c r="A8" s="23" t="s">
        <v>25</v>
      </c>
      <c r="B8" s="2">
        <v>1.625</v>
      </c>
      <c r="C8" s="2">
        <v>2.17</v>
      </c>
      <c r="D8" s="2">
        <v>2.1</v>
      </c>
      <c r="E8" s="2">
        <v>2.84</v>
      </c>
      <c r="F8" s="2">
        <v>1.79</v>
      </c>
      <c r="G8" s="2">
        <v>2.14</v>
      </c>
      <c r="H8" s="2">
        <v>2.5125000000000002</v>
      </c>
      <c r="I8" s="2">
        <v>1.7</v>
      </c>
      <c r="J8" s="2">
        <v>1.76</v>
      </c>
      <c r="K8" s="2">
        <v>1.8</v>
      </c>
      <c r="L8" s="2">
        <v>2.4</v>
      </c>
      <c r="M8" s="2">
        <v>2.2999999999999998</v>
      </c>
      <c r="N8" s="2">
        <v>3</v>
      </c>
      <c r="O8" s="2">
        <v>1.7</v>
      </c>
      <c r="P8" s="2">
        <v>2.6</v>
      </c>
      <c r="Q8" s="2">
        <v>2.1</v>
      </c>
      <c r="R8" s="2">
        <v>2.4</v>
      </c>
      <c r="S8" s="2">
        <v>1.7</v>
      </c>
      <c r="T8" s="2">
        <v>2.4</v>
      </c>
      <c r="U8" s="2">
        <v>2.7</v>
      </c>
      <c r="V8" s="2">
        <v>1.7</v>
      </c>
      <c r="W8" s="2">
        <v>2.2000000000000002</v>
      </c>
      <c r="X8" s="2">
        <v>2.21</v>
      </c>
      <c r="Y8" s="2">
        <v>1.86</v>
      </c>
      <c r="Z8" s="2">
        <v>1.98</v>
      </c>
      <c r="AA8" s="2">
        <v>1.17</v>
      </c>
      <c r="AB8" s="2">
        <v>1.2</v>
      </c>
      <c r="AC8" s="2">
        <v>2.17</v>
      </c>
      <c r="AD8" s="2">
        <v>1.59</v>
      </c>
      <c r="AE8" s="1779">
        <v>1.4</v>
      </c>
      <c r="AF8" s="1779"/>
      <c r="AG8" s="2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</row>
    <row r="9" spans="1:70" ht="15.5">
      <c r="AG9" s="25" t="s">
        <v>39</v>
      </c>
      <c r="AH9" s="5">
        <f t="shared" ref="AH9:BK9" si="8">LN(1/B8-0.08)</f>
        <v>-0.62476988311520831</v>
      </c>
      <c r="AI9" s="5">
        <f t="shared" si="8"/>
        <v>-0.96540352872907653</v>
      </c>
      <c r="AJ9" s="5">
        <f t="shared" si="8"/>
        <v>-0.92586018289030592</v>
      </c>
      <c r="AK9" s="5">
        <f t="shared" si="8"/>
        <v>-1.3015390482569433</v>
      </c>
      <c r="AL9" s="5">
        <f t="shared" si="8"/>
        <v>-0.7367663797012618</v>
      </c>
      <c r="AM9" s="5">
        <f t="shared" si="8"/>
        <v>-0.94858223651067863</v>
      </c>
      <c r="AN9" s="5">
        <f t="shared" si="8"/>
        <v>-1.1456726066010567</v>
      </c>
      <c r="AO9" s="5">
        <f t="shared" si="8"/>
        <v>-0.67681076124025175</v>
      </c>
      <c r="AP9" s="5">
        <f t="shared" si="8"/>
        <v>-0.71706736427759721</v>
      </c>
      <c r="AQ9" s="5">
        <f t="shared" si="8"/>
        <v>-0.74327156774251391</v>
      </c>
      <c r="AR9" s="5">
        <f t="shared" si="8"/>
        <v>-1.0886619578149417</v>
      </c>
      <c r="AS9" s="5">
        <f t="shared" si="8"/>
        <v>-1.0362500469531339</v>
      </c>
      <c r="AT9" s="5">
        <f t="shared" si="8"/>
        <v>-1.3730491343698701</v>
      </c>
      <c r="AU9" s="5">
        <f t="shared" si="8"/>
        <v>-0.67681076124025175</v>
      </c>
      <c r="AV9" s="5">
        <f t="shared" si="8"/>
        <v>-1.1887053321951477</v>
      </c>
      <c r="AW9" s="5">
        <f t="shared" si="8"/>
        <v>-0.92586018289030592</v>
      </c>
      <c r="AX9" s="5">
        <f t="shared" si="8"/>
        <v>-1.0886619578149417</v>
      </c>
      <c r="AY9" s="5">
        <f t="shared" si="8"/>
        <v>-0.67681076124025175</v>
      </c>
      <c r="AZ9" s="5">
        <f t="shared" si="8"/>
        <v>-1.0886619578149417</v>
      </c>
      <c r="BA9" s="5">
        <f t="shared" si="8"/>
        <v>-1.2365980316420127</v>
      </c>
      <c r="BB9" s="5">
        <f t="shared" si="8"/>
        <v>-0.67681076124025175</v>
      </c>
      <c r="BC9" s="5">
        <f t="shared" si="8"/>
        <v>-0.9820421094369356</v>
      </c>
      <c r="BD9" s="5">
        <f t="shared" si="8"/>
        <v>-0.9875486099919587</v>
      </c>
      <c r="BE9" s="5">
        <f t="shared" si="8"/>
        <v>-0.78168464811986715</v>
      </c>
      <c r="BF9" s="5">
        <f t="shared" si="8"/>
        <v>-0.8555472817051355</v>
      </c>
      <c r="BG9" s="5">
        <f t="shared" si="8"/>
        <v>-0.25527831807800511</v>
      </c>
      <c r="BH9" s="5">
        <f t="shared" si="8"/>
        <v>-0.28324747538391509</v>
      </c>
      <c r="BI9" s="5">
        <f t="shared" si="8"/>
        <v>-0.96540352872907653</v>
      </c>
      <c r="BJ9" s="5">
        <f t="shared" si="8"/>
        <v>-0.59978286069541609</v>
      </c>
      <c r="BK9" s="5">
        <f t="shared" si="8"/>
        <v>-0.45525577261117983</v>
      </c>
    </row>
    <row r="10" spans="1:70" ht="15.5">
      <c r="AG10" s="25"/>
      <c r="AH10" s="5">
        <f>75.34+(19.46*AH9)</f>
        <v>63.181978074578048</v>
      </c>
      <c r="AI10" s="5">
        <f t="shared" ref="AI10:AW10" si="9">75.34+(19.46*AI9)</f>
        <v>56.553247330932173</v>
      </c>
      <c r="AJ10" s="5">
        <f t="shared" si="9"/>
        <v>57.322760840954651</v>
      </c>
      <c r="AK10" s="5">
        <f t="shared" si="9"/>
        <v>50.012050120919881</v>
      </c>
      <c r="AL10" s="5">
        <f t="shared" si="9"/>
        <v>61.00252625101345</v>
      </c>
      <c r="AM10" s="5">
        <f t="shared" si="9"/>
        <v>56.880589677502201</v>
      </c>
      <c r="AN10" s="5">
        <f t="shared" si="9"/>
        <v>53.045211075543435</v>
      </c>
      <c r="AO10" s="5">
        <f t="shared" si="9"/>
        <v>62.169262586264708</v>
      </c>
      <c r="AP10" s="5">
        <f t="shared" si="9"/>
        <v>61.385869091157957</v>
      </c>
      <c r="AQ10" s="5">
        <f t="shared" si="9"/>
        <v>60.875935291730684</v>
      </c>
      <c r="AR10" s="5">
        <f t="shared" si="9"/>
        <v>54.154638300921235</v>
      </c>
      <c r="AS10" s="5">
        <f t="shared" si="9"/>
        <v>55.174574086292012</v>
      </c>
      <c r="AT10" s="5">
        <f t="shared" si="9"/>
        <v>48.620463845162334</v>
      </c>
      <c r="AU10" s="5">
        <f t="shared" si="9"/>
        <v>62.169262586264708</v>
      </c>
      <c r="AV10" s="5">
        <f t="shared" si="9"/>
        <v>52.207794235482424</v>
      </c>
      <c r="AW10" s="5">
        <f t="shared" si="9"/>
        <v>57.322760840954651</v>
      </c>
      <c r="AX10" s="5">
        <f t="shared" ref="AX10:BC10" si="10">75.34+(19.46*AX9)</f>
        <v>54.154638300921235</v>
      </c>
      <c r="AY10" s="5">
        <f t="shared" si="10"/>
        <v>62.169262586264708</v>
      </c>
      <c r="AZ10" s="5">
        <f t="shared" si="10"/>
        <v>54.154638300921235</v>
      </c>
      <c r="BA10" s="5">
        <f t="shared" si="10"/>
        <v>51.27580230424644</v>
      </c>
      <c r="BB10" s="5">
        <f t="shared" si="10"/>
        <v>62.169262586264708</v>
      </c>
      <c r="BC10" s="5">
        <f t="shared" si="10"/>
        <v>56.229460550357231</v>
      </c>
      <c r="BD10" s="5">
        <f t="shared" ref="BD10:BJ10" si="11">75.34+(19.46*BD9)</f>
        <v>56.12230404955649</v>
      </c>
      <c r="BE10" s="5">
        <f t="shared" si="11"/>
        <v>60.128416747587387</v>
      </c>
      <c r="BF10" s="5">
        <f t="shared" si="11"/>
        <v>58.691049898018065</v>
      </c>
      <c r="BG10" s="5">
        <f t="shared" si="11"/>
        <v>70.37228393020203</v>
      </c>
      <c r="BH10" s="5">
        <f t="shared" si="11"/>
        <v>69.828004129029011</v>
      </c>
      <c r="BI10" s="5">
        <f t="shared" si="11"/>
        <v>56.553247330932173</v>
      </c>
      <c r="BJ10" s="5">
        <f t="shared" si="11"/>
        <v>63.668225530867204</v>
      </c>
      <c r="BK10" s="5">
        <f t="shared" ref="BK10" si="12">75.34+(19.46*BK9)</f>
        <v>66.480722664986445</v>
      </c>
    </row>
    <row r="11" spans="1:70" ht="15.5">
      <c r="AG11" s="2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</row>
    <row r="12" spans="1:70" ht="15.5">
      <c r="AG12" s="25" t="s">
        <v>40</v>
      </c>
      <c r="AH12" s="5">
        <f>+(AH4+AH7+AH10)/3</f>
        <v>71.50794563964682</v>
      </c>
      <c r="AI12" s="5">
        <f t="shared" ref="AI12:AV12" si="13">+(AI4+AI7+AI10)/3</f>
        <v>75.008652243280963</v>
      </c>
      <c r="AJ12" s="5">
        <f t="shared" si="13"/>
        <v>73.891647378922414</v>
      </c>
      <c r="AK12" s="5">
        <f t="shared" si="13"/>
        <v>68.035313508447373</v>
      </c>
      <c r="AL12" s="5">
        <f t="shared" si="13"/>
        <v>71.30737087336658</v>
      </c>
      <c r="AM12" s="5">
        <f t="shared" si="13"/>
        <v>58.215884707892478</v>
      </c>
      <c r="AN12" s="5">
        <f t="shared" si="13"/>
        <v>60.566485160809464</v>
      </c>
      <c r="AO12" s="5">
        <f t="shared" si="13"/>
        <v>61.725557393936491</v>
      </c>
      <c r="AP12" s="5">
        <f t="shared" si="13"/>
        <v>58.145763058488562</v>
      </c>
      <c r="AQ12" s="5">
        <f t="shared" si="13"/>
        <v>60.286937270508531</v>
      </c>
      <c r="AR12" s="5">
        <f t="shared" si="13"/>
        <v>64.760419004962259</v>
      </c>
      <c r="AS12" s="5">
        <f t="shared" si="13"/>
        <v>66.532212591251763</v>
      </c>
      <c r="AT12" s="5">
        <f t="shared" si="13"/>
        <v>62.149554721826782</v>
      </c>
      <c r="AU12" s="5">
        <f t="shared" si="13"/>
        <v>66.381093125951168</v>
      </c>
      <c r="AV12" s="5">
        <f t="shared" si="13"/>
        <v>56.246903630180377</v>
      </c>
      <c r="AW12" s="5">
        <f t="shared" ref="AW12:BK12" si="14">+(AW4+AW7+AW10)/3</f>
        <v>63.399749599216442</v>
      </c>
      <c r="AX12" s="5">
        <f t="shared" si="14"/>
        <v>56.540864342495318</v>
      </c>
      <c r="AY12" s="5">
        <f t="shared" si="14"/>
        <v>60.959936193838473</v>
      </c>
      <c r="AZ12" s="5">
        <f t="shared" si="14"/>
        <v>64.606445536666456</v>
      </c>
      <c r="BA12" s="5">
        <f t="shared" si="14"/>
        <v>59.58671647950522</v>
      </c>
      <c r="BB12" s="5">
        <f t="shared" si="14"/>
        <v>62.191196381036377</v>
      </c>
      <c r="BC12" s="5">
        <f t="shared" si="14"/>
        <v>61.596777024781623</v>
      </c>
      <c r="BD12" s="5">
        <f t="shared" si="14"/>
        <v>65.85719446283872</v>
      </c>
      <c r="BE12" s="5">
        <f t="shared" si="14"/>
        <v>67.514644208189111</v>
      </c>
      <c r="BF12" s="5">
        <f t="shared" si="14"/>
        <v>57.054090152135039</v>
      </c>
      <c r="BG12" s="5">
        <f t="shared" si="14"/>
        <v>69.328999562795389</v>
      </c>
      <c r="BH12" s="5">
        <f t="shared" si="14"/>
        <v>68.71735824908005</v>
      </c>
      <c r="BI12" s="5">
        <f t="shared" si="14"/>
        <v>63.175209913626908</v>
      </c>
      <c r="BJ12" s="5">
        <f t="shared" si="14"/>
        <v>66.678551412272967</v>
      </c>
      <c r="BK12" s="5">
        <f t="shared" si="14"/>
        <v>69.6464186956552</v>
      </c>
    </row>
    <row r="13" spans="1:70">
      <c r="AG13" s="23"/>
      <c r="AH13" s="5" t="s">
        <v>41</v>
      </c>
      <c r="AI13" s="5" t="s">
        <v>41</v>
      </c>
      <c r="AJ13" s="5" t="s">
        <v>41</v>
      </c>
      <c r="AK13" s="5" t="s">
        <v>41</v>
      </c>
      <c r="AL13" s="5" t="s">
        <v>41</v>
      </c>
      <c r="AM13" s="5" t="s">
        <v>42</v>
      </c>
      <c r="AN13" s="5" t="s">
        <v>42</v>
      </c>
      <c r="AO13" s="5" t="s">
        <v>42</v>
      </c>
      <c r="AP13" s="5" t="s">
        <v>42</v>
      </c>
      <c r="AQ13" s="5" t="s">
        <v>42</v>
      </c>
      <c r="AR13" s="5" t="s">
        <v>42</v>
      </c>
      <c r="AS13" s="5" t="s">
        <v>42</v>
      </c>
      <c r="AT13" s="5" t="s">
        <v>42</v>
      </c>
    </row>
    <row r="14" spans="1:70"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</row>
    <row r="15" spans="1:70">
      <c r="A15" s="2260" t="s">
        <v>31</v>
      </c>
      <c r="B15" s="2260"/>
      <c r="C15" s="2260"/>
      <c r="D15" s="2260"/>
      <c r="E15" s="2260"/>
      <c r="F15" s="2260"/>
      <c r="G15" s="2260"/>
      <c r="H15" s="2260"/>
      <c r="I15" s="2260"/>
      <c r="J15" s="2260"/>
      <c r="K15" s="2260"/>
      <c r="L15" s="2260"/>
      <c r="M15" s="2260"/>
      <c r="N15" s="2260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1393"/>
      <c r="AE15" s="81"/>
      <c r="AF15" s="2174"/>
      <c r="AG15" s="2260" t="s">
        <v>44</v>
      </c>
      <c r="AH15" s="2260"/>
      <c r="AI15" s="2260"/>
      <c r="AJ15" s="2260"/>
      <c r="AK15" s="2260"/>
      <c r="AL15" s="2260"/>
      <c r="AM15" s="2260"/>
      <c r="AN15" s="2260"/>
      <c r="AO15" s="2260"/>
      <c r="AP15" s="2260"/>
      <c r="AQ15" s="2260"/>
      <c r="AR15" s="2260"/>
      <c r="AS15" s="2260"/>
      <c r="AT15" s="2260"/>
      <c r="BL15" s="2261" t="s">
        <v>1896</v>
      </c>
      <c r="BM15" s="2261"/>
      <c r="BN15" s="2261"/>
      <c r="BO15" s="2261"/>
      <c r="BP15" s="2261"/>
      <c r="BQ15" s="2261"/>
      <c r="BR15" s="2261"/>
    </row>
    <row r="16" spans="1:70">
      <c r="A16" s="23"/>
      <c r="B16" s="23"/>
      <c r="C16" s="156">
        <v>1991</v>
      </c>
      <c r="D16" s="156">
        <v>1992</v>
      </c>
      <c r="E16" s="156">
        <v>1993</v>
      </c>
      <c r="F16" s="156">
        <v>1994</v>
      </c>
      <c r="G16" s="156">
        <v>1995</v>
      </c>
      <c r="H16" s="156">
        <v>1996</v>
      </c>
      <c r="I16" s="156">
        <v>1997</v>
      </c>
      <c r="J16" s="156">
        <v>1998</v>
      </c>
      <c r="K16" s="156">
        <v>1999</v>
      </c>
      <c r="L16" s="156">
        <v>2000</v>
      </c>
      <c r="M16" s="156">
        <v>2001</v>
      </c>
      <c r="N16" s="156">
        <v>2002</v>
      </c>
      <c r="O16" s="156">
        <v>2003</v>
      </c>
      <c r="P16" s="156">
        <v>2004</v>
      </c>
      <c r="Q16" s="156">
        <v>2005</v>
      </c>
      <c r="R16" s="156">
        <v>2006</v>
      </c>
      <c r="S16" s="156">
        <v>2007</v>
      </c>
      <c r="T16" s="156">
        <v>2008</v>
      </c>
      <c r="U16" s="156">
        <v>2009</v>
      </c>
      <c r="V16" s="156">
        <v>2010</v>
      </c>
      <c r="W16" s="156">
        <v>2011</v>
      </c>
      <c r="X16" s="156">
        <v>2012</v>
      </c>
      <c r="Y16" s="156">
        <v>2013</v>
      </c>
      <c r="Z16" s="156">
        <v>2014</v>
      </c>
      <c r="AA16" s="156">
        <v>2015</v>
      </c>
      <c r="AB16" s="156">
        <v>2016</v>
      </c>
      <c r="AC16" s="156">
        <v>2017</v>
      </c>
      <c r="AD16" s="156">
        <v>2018</v>
      </c>
      <c r="AE16" s="156">
        <v>2019</v>
      </c>
      <c r="AF16" s="156" t="s">
        <v>726</v>
      </c>
      <c r="AG16" s="23"/>
      <c r="AH16" s="156">
        <v>1988</v>
      </c>
      <c r="AI16" s="156">
        <v>1991</v>
      </c>
      <c r="AJ16" s="156">
        <v>1992</v>
      </c>
      <c r="AK16" s="156">
        <v>1993</v>
      </c>
      <c r="AL16" s="156">
        <v>1994</v>
      </c>
      <c r="AM16" s="156">
        <v>1995</v>
      </c>
      <c r="AN16" s="156">
        <v>1996</v>
      </c>
      <c r="AO16" s="156">
        <v>1997</v>
      </c>
      <c r="AP16" s="156">
        <v>1998</v>
      </c>
      <c r="AQ16" s="156">
        <v>1999</v>
      </c>
      <c r="AR16" s="156">
        <v>2000</v>
      </c>
      <c r="AS16" s="156">
        <v>2001</v>
      </c>
      <c r="AT16" s="156">
        <v>2002</v>
      </c>
      <c r="AU16" s="156">
        <v>2003</v>
      </c>
      <c r="AV16" s="156">
        <v>2004</v>
      </c>
      <c r="AW16" s="156">
        <v>2005</v>
      </c>
      <c r="AX16" s="156">
        <v>2006</v>
      </c>
      <c r="AY16" s="156">
        <v>2007</v>
      </c>
      <c r="AZ16" s="156">
        <v>2008</v>
      </c>
      <c r="BA16" s="156">
        <v>2009</v>
      </c>
      <c r="BB16" s="156">
        <v>2010</v>
      </c>
      <c r="BC16" s="156">
        <v>2011</v>
      </c>
      <c r="BD16" s="156">
        <v>2012</v>
      </c>
      <c r="BE16" s="156">
        <v>2013</v>
      </c>
      <c r="BF16" s="263">
        <v>2014</v>
      </c>
      <c r="BG16" s="156">
        <v>2015</v>
      </c>
      <c r="BH16" s="263">
        <v>2016</v>
      </c>
      <c r="BI16" s="263">
        <v>2017</v>
      </c>
      <c r="BJ16" s="263">
        <v>2018</v>
      </c>
      <c r="BK16" s="2192">
        <v>2019</v>
      </c>
      <c r="BL16" s="1215">
        <v>2013</v>
      </c>
      <c r="BM16" s="1215">
        <v>2014</v>
      </c>
      <c r="BN16" s="1215">
        <v>2015</v>
      </c>
      <c r="BO16" s="1215">
        <v>2016</v>
      </c>
      <c r="BP16" s="1215">
        <v>2017</v>
      </c>
      <c r="BQ16" s="1215">
        <v>2018</v>
      </c>
      <c r="BR16" s="1215">
        <v>2019</v>
      </c>
    </row>
    <row r="17" spans="1:70" ht="15.5">
      <c r="A17" s="23" t="s">
        <v>27</v>
      </c>
      <c r="C17" s="2">
        <v>191.83</v>
      </c>
      <c r="D17" s="2">
        <v>181.66</v>
      </c>
      <c r="E17" s="2">
        <v>206.9</v>
      </c>
      <c r="F17" s="2">
        <v>92.27</v>
      </c>
      <c r="G17" s="2">
        <v>58.4</v>
      </c>
      <c r="H17" s="2">
        <v>30.9</v>
      </c>
      <c r="I17" s="2">
        <v>39</v>
      </c>
      <c r="J17" s="2">
        <v>35</v>
      </c>
      <c r="K17" s="2">
        <v>46.4</v>
      </c>
      <c r="L17" s="2">
        <v>42.4</v>
      </c>
      <c r="M17" s="2">
        <v>62.2</v>
      </c>
      <c r="N17" s="2">
        <v>51</v>
      </c>
      <c r="O17" s="2">
        <v>62.4</v>
      </c>
      <c r="P17" s="2">
        <v>40.299999999999997</v>
      </c>
      <c r="Q17" s="2">
        <v>45.8</v>
      </c>
      <c r="R17" s="2">
        <v>25.5</v>
      </c>
      <c r="S17" s="2">
        <v>28.6</v>
      </c>
      <c r="T17" s="2">
        <v>61.4</v>
      </c>
      <c r="U17" s="2">
        <v>49.1</v>
      </c>
      <c r="V17" s="2">
        <v>38.799999999999997</v>
      </c>
      <c r="W17" s="2">
        <v>55.2</v>
      </c>
      <c r="X17" s="2">
        <v>97.2</v>
      </c>
      <c r="Y17" s="2">
        <v>111.7</v>
      </c>
      <c r="Z17" s="5">
        <v>44.7</v>
      </c>
      <c r="AA17" s="5">
        <v>87.8</v>
      </c>
      <c r="AB17" s="5">
        <v>95.1</v>
      </c>
      <c r="AC17" s="5">
        <v>62</v>
      </c>
      <c r="AD17" s="5">
        <v>61.8</v>
      </c>
      <c r="AE17" s="5">
        <v>89.6</v>
      </c>
      <c r="AF17" s="5">
        <v>15</v>
      </c>
      <c r="AG17" s="25" t="s">
        <v>1880</v>
      </c>
      <c r="AH17" s="5"/>
      <c r="AI17" s="5">
        <f>LN(C19)</f>
        <v>1.3837912309017721</v>
      </c>
      <c r="AJ17" s="5">
        <f t="shared" ref="AJ17:BK17" si="15">LN(D19)</f>
        <v>2.4664031782234406</v>
      </c>
      <c r="AK17" s="5">
        <f t="shared" si="15"/>
        <v>2.6672282065819548</v>
      </c>
      <c r="AL17" s="5">
        <f t="shared" si="15"/>
        <v>3.2733640101522705</v>
      </c>
      <c r="AM17" s="5">
        <f t="shared" si="15"/>
        <v>2.3942522815198695</v>
      </c>
      <c r="AN17" s="5">
        <f t="shared" si="15"/>
        <v>3.1701056604987712</v>
      </c>
      <c r="AO17" s="5">
        <f t="shared" si="15"/>
        <v>1.791759469228055</v>
      </c>
      <c r="AP17" s="5">
        <f t="shared" si="15"/>
        <v>0.9895411936137477</v>
      </c>
      <c r="AQ17" s="5">
        <f t="shared" si="15"/>
        <v>1.1314021114911006</v>
      </c>
      <c r="AR17" s="5">
        <f t="shared" si="15"/>
        <v>2.6810215287142909</v>
      </c>
      <c r="AS17" s="5">
        <f t="shared" si="15"/>
        <v>3.1570004211501135</v>
      </c>
      <c r="AT17" s="5">
        <f t="shared" si="15"/>
        <v>3.0106208860477417</v>
      </c>
      <c r="AU17" s="5">
        <f t="shared" si="15"/>
        <v>2.917770732084279</v>
      </c>
      <c r="AV17" s="5">
        <f t="shared" si="15"/>
        <v>2.1400661634962708</v>
      </c>
      <c r="AW17" s="5">
        <f t="shared" si="15"/>
        <v>2.7408400239252009</v>
      </c>
      <c r="AX17" s="5">
        <f t="shared" si="15"/>
        <v>2.5802168295923251</v>
      </c>
      <c r="AY17" s="5">
        <f t="shared" si="15"/>
        <v>1.8718021769015913</v>
      </c>
      <c r="AZ17" s="5">
        <f t="shared" si="15"/>
        <v>3.2503744919275719</v>
      </c>
      <c r="BA17" s="5">
        <f t="shared" si="15"/>
        <v>3.1484533605716547</v>
      </c>
      <c r="BB17" s="5">
        <f t="shared" si="15"/>
        <v>2.7212954278522306</v>
      </c>
      <c r="BC17" s="5">
        <f t="shared" si="15"/>
        <v>2.1972245773362196</v>
      </c>
      <c r="BD17" s="5">
        <f t="shared" si="15"/>
        <v>3.2228678461377385</v>
      </c>
      <c r="BE17" s="5">
        <f t="shared" si="15"/>
        <v>3.2733640101522705</v>
      </c>
      <c r="BF17" s="5">
        <f t="shared" si="15"/>
        <v>2.1162555148025524</v>
      </c>
      <c r="BG17" s="5">
        <f t="shared" si="15"/>
        <v>3.039749158970765</v>
      </c>
      <c r="BH17" s="5">
        <f t="shared" si="15"/>
        <v>2.6810215287142909</v>
      </c>
      <c r="BI17" s="5">
        <f t="shared" si="15"/>
        <v>3.1135153092103742</v>
      </c>
      <c r="BJ17" s="5">
        <f t="shared" si="15"/>
        <v>2.6810215287142909</v>
      </c>
      <c r="BK17" s="2182">
        <f t="shared" si="15"/>
        <v>2.631888840136646</v>
      </c>
      <c r="BL17" s="2188">
        <f>LN(Y25)</f>
        <v>1.791759469228055</v>
      </c>
      <c r="BM17" s="2188">
        <f t="shared" ref="BM17:BR17" si="16">LN(Z25)</f>
        <v>1.3862943611198906</v>
      </c>
      <c r="BN17" s="2188">
        <f t="shared" si="16"/>
        <v>0.95551144502743635</v>
      </c>
      <c r="BO17" s="2188">
        <f t="shared" si="16"/>
        <v>1.9021075263969205</v>
      </c>
      <c r="BP17" s="2188">
        <f t="shared" si="16"/>
        <v>1.0986122886681098</v>
      </c>
      <c r="BQ17" s="2188">
        <f t="shared" si="16"/>
        <v>2.2192034840549946</v>
      </c>
      <c r="BR17" s="2188">
        <f t="shared" si="16"/>
        <v>1.3862943611198906</v>
      </c>
    </row>
    <row r="18" spans="1:70" ht="15.5">
      <c r="A18" s="23" t="s">
        <v>28</v>
      </c>
      <c r="C18" s="2">
        <v>234.14</v>
      </c>
      <c r="D18" s="2">
        <v>133.19999999999999</v>
      </c>
      <c r="E18" s="2">
        <v>198.57</v>
      </c>
      <c r="F18" s="2">
        <v>156.69999999999999</v>
      </c>
      <c r="G18" s="2">
        <v>284.52999999999997</v>
      </c>
      <c r="H18" s="2">
        <v>340.4</v>
      </c>
      <c r="I18" s="2">
        <v>302.89999999999998</v>
      </c>
      <c r="J18" s="2">
        <v>228</v>
      </c>
      <c r="K18" s="2">
        <v>201</v>
      </c>
      <c r="L18" s="2">
        <v>347</v>
      </c>
      <c r="M18" s="2">
        <v>208</v>
      </c>
      <c r="N18" s="2">
        <v>171</v>
      </c>
      <c r="O18" s="2">
        <v>121</v>
      </c>
      <c r="P18" s="2">
        <v>175</v>
      </c>
      <c r="Q18" s="2">
        <v>150</v>
      </c>
      <c r="R18" s="2">
        <v>12</v>
      </c>
      <c r="S18" s="2">
        <v>145</v>
      </c>
      <c r="T18" s="2">
        <v>79</v>
      </c>
      <c r="U18" s="2">
        <v>180</v>
      </c>
      <c r="V18" s="2">
        <v>112</v>
      </c>
      <c r="W18" s="2">
        <v>111</v>
      </c>
      <c r="X18" s="2">
        <v>32</v>
      </c>
      <c r="Y18" s="2">
        <v>103</v>
      </c>
      <c r="Z18" s="2">
        <v>172</v>
      </c>
      <c r="AA18" s="2">
        <v>148</v>
      </c>
      <c r="AB18" s="2">
        <v>670</v>
      </c>
      <c r="AC18" s="2">
        <v>669</v>
      </c>
      <c r="AD18" s="2">
        <v>725</v>
      </c>
      <c r="AE18" s="2">
        <v>918</v>
      </c>
      <c r="AF18" s="2">
        <v>254</v>
      </c>
      <c r="AG18" s="25"/>
      <c r="AH18" s="5"/>
      <c r="AI18" s="5">
        <f>20+(14.42*AI17)</f>
        <v>39.954269549603552</v>
      </c>
      <c r="AJ18" s="5">
        <f t="shared" ref="AJ18:BK18" si="17">20+(14.42*AJ17)</f>
        <v>55.565533829982016</v>
      </c>
      <c r="AK18" s="5">
        <f t="shared" si="17"/>
        <v>58.461430738911787</v>
      </c>
      <c r="AL18" s="5">
        <f t="shared" si="17"/>
        <v>67.201909026395739</v>
      </c>
      <c r="AM18" s="5">
        <f t="shared" si="17"/>
        <v>54.525117899516516</v>
      </c>
      <c r="AN18" s="5">
        <f t="shared" si="17"/>
        <v>65.712923624392289</v>
      </c>
      <c r="AO18" s="5">
        <f t="shared" si="17"/>
        <v>45.83717154626855</v>
      </c>
      <c r="AP18" s="5">
        <f t="shared" si="17"/>
        <v>34.269184011910241</v>
      </c>
      <c r="AQ18" s="5">
        <f t="shared" si="17"/>
        <v>36.314818447701668</v>
      </c>
      <c r="AR18" s="5">
        <f t="shared" si="17"/>
        <v>58.660330444060072</v>
      </c>
      <c r="AS18" s="5">
        <f t="shared" si="17"/>
        <v>65.523946072984643</v>
      </c>
      <c r="AT18" s="5">
        <f t="shared" si="17"/>
        <v>63.413153176808436</v>
      </c>
      <c r="AU18" s="5">
        <f t="shared" si="17"/>
        <v>62.074253956655305</v>
      </c>
      <c r="AV18" s="5">
        <f t="shared" si="17"/>
        <v>50.859754077616223</v>
      </c>
      <c r="AW18" s="5">
        <f t="shared" si="17"/>
        <v>59.522913145001397</v>
      </c>
      <c r="AX18" s="5">
        <f t="shared" si="17"/>
        <v>57.206726682721325</v>
      </c>
      <c r="AY18" s="5">
        <f t="shared" si="17"/>
        <v>46.991387390920949</v>
      </c>
      <c r="AZ18" s="5">
        <f t="shared" si="17"/>
        <v>66.870400173595584</v>
      </c>
      <c r="BA18" s="5">
        <f t="shared" si="17"/>
        <v>65.400697459443251</v>
      </c>
      <c r="BB18" s="5">
        <f t="shared" si="17"/>
        <v>59.241080069629163</v>
      </c>
      <c r="BC18" s="5">
        <f t="shared" si="17"/>
        <v>51.683978405188284</v>
      </c>
      <c r="BD18" s="5">
        <f t="shared" si="17"/>
        <v>66.47375434130619</v>
      </c>
      <c r="BE18" s="5">
        <f t="shared" si="17"/>
        <v>67.201909026395739</v>
      </c>
      <c r="BF18" s="5">
        <f t="shared" si="17"/>
        <v>50.516404523452806</v>
      </c>
      <c r="BG18" s="5">
        <f t="shared" si="17"/>
        <v>63.833182872358428</v>
      </c>
      <c r="BH18" s="5">
        <f t="shared" si="17"/>
        <v>58.660330444060072</v>
      </c>
      <c r="BI18" s="5">
        <f t="shared" si="17"/>
        <v>64.896890758813598</v>
      </c>
      <c r="BJ18" s="5">
        <f t="shared" si="17"/>
        <v>58.660330444060072</v>
      </c>
      <c r="BK18" s="5">
        <f t="shared" si="17"/>
        <v>57.951837074770438</v>
      </c>
      <c r="BL18" s="2188">
        <f>20+(14.42*BL17)</f>
        <v>45.83717154626855</v>
      </c>
      <c r="BM18" s="2188">
        <f t="shared" ref="BM18" si="18">20+(14.42*BM17)</f>
        <v>39.990364687348823</v>
      </c>
      <c r="BN18" s="2188">
        <f t="shared" ref="BN18" si="19">20+(14.42*BN17)</f>
        <v>33.778475037295635</v>
      </c>
      <c r="BO18" s="2188">
        <f t="shared" ref="BO18" si="20">20+(14.42*BO17)</f>
        <v>47.428390530643597</v>
      </c>
      <c r="BP18" s="2188">
        <f t="shared" ref="BP18" si="21">20+(14.42*BP17)</f>
        <v>35.841989202594142</v>
      </c>
      <c r="BQ18" s="2188">
        <f t="shared" ref="BQ18" si="22">20+(14.42*BQ17)</f>
        <v>52.000914240073023</v>
      </c>
      <c r="BR18" s="2188">
        <f t="shared" ref="BR18" si="23">20+(14.42*BR17)</f>
        <v>39.990364687348823</v>
      </c>
    </row>
    <row r="19" spans="1:70" ht="15.5">
      <c r="A19" s="23" t="s">
        <v>29</v>
      </c>
      <c r="C19" s="2">
        <v>3.99</v>
      </c>
      <c r="D19" s="2">
        <v>11.78</v>
      </c>
      <c r="E19" s="2">
        <v>14.4</v>
      </c>
      <c r="F19" s="2">
        <v>26.4</v>
      </c>
      <c r="G19" s="2">
        <v>10.96</v>
      </c>
      <c r="H19" s="2">
        <v>23.81</v>
      </c>
      <c r="I19" s="2">
        <v>6</v>
      </c>
      <c r="J19" s="2">
        <v>2.69</v>
      </c>
      <c r="K19" s="2">
        <v>3.1</v>
      </c>
      <c r="L19" s="2">
        <v>14.6</v>
      </c>
      <c r="M19" s="2">
        <v>23.5</v>
      </c>
      <c r="N19" s="2">
        <v>20.3</v>
      </c>
      <c r="O19" s="2">
        <v>18.5</v>
      </c>
      <c r="P19" s="2">
        <v>8.5</v>
      </c>
      <c r="Q19" s="2">
        <v>15.5</v>
      </c>
      <c r="R19" s="2">
        <v>13.2</v>
      </c>
      <c r="S19" s="2">
        <v>6.5</v>
      </c>
      <c r="T19" s="2">
        <v>25.8</v>
      </c>
      <c r="U19" s="2">
        <v>23.3</v>
      </c>
      <c r="V19" s="2">
        <v>15.2</v>
      </c>
      <c r="W19" s="2">
        <v>9</v>
      </c>
      <c r="X19" s="2">
        <v>25.1</v>
      </c>
      <c r="Y19" s="2">
        <v>26.4</v>
      </c>
      <c r="Z19" s="2">
        <v>8.3000000000000007</v>
      </c>
      <c r="AA19" s="2">
        <v>20.9</v>
      </c>
      <c r="AB19" s="2">
        <v>14.6</v>
      </c>
      <c r="AC19" s="2">
        <v>22.5</v>
      </c>
      <c r="AD19" s="2">
        <v>14.6</v>
      </c>
      <c r="AE19" s="2">
        <v>13.9</v>
      </c>
      <c r="AF19" s="2">
        <v>4</v>
      </c>
      <c r="AG19" s="2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BK19" s="2183"/>
      <c r="BL19" s="75"/>
      <c r="BM19" s="75"/>
      <c r="BN19" s="75"/>
      <c r="BO19" s="75"/>
      <c r="BP19" s="75"/>
      <c r="BQ19" s="75"/>
      <c r="BR19" s="75"/>
    </row>
    <row r="20" spans="1:70" ht="15.5">
      <c r="A20" s="23" t="s">
        <v>30</v>
      </c>
      <c r="C20" s="2">
        <v>6.25</v>
      </c>
      <c r="D20" s="2">
        <v>26.18</v>
      </c>
      <c r="E20" s="2">
        <v>32</v>
      </c>
      <c r="F20" s="2">
        <v>69.5</v>
      </c>
      <c r="G20" s="2">
        <v>36.85</v>
      </c>
      <c r="H20" s="2">
        <v>91.4</v>
      </c>
      <c r="I20" s="2">
        <v>16.399999999999999</v>
      </c>
      <c r="J20" s="2">
        <v>5.8</v>
      </c>
      <c r="K20" s="2">
        <v>7.7</v>
      </c>
      <c r="L20" s="2">
        <v>95.9</v>
      </c>
      <c r="M20" s="2">
        <v>69.7</v>
      </c>
      <c r="N20" s="2">
        <v>43.7</v>
      </c>
      <c r="O20" s="2">
        <v>37.700000000000003</v>
      </c>
      <c r="P20" s="2">
        <v>15.2</v>
      </c>
      <c r="Q20" s="2">
        <v>75.5</v>
      </c>
      <c r="R20" s="2">
        <v>28.7</v>
      </c>
      <c r="S20" s="2">
        <v>20.7</v>
      </c>
      <c r="T20" s="2">
        <v>73.900000000000006</v>
      </c>
      <c r="U20" s="2">
        <v>80.400000000000006</v>
      </c>
      <c r="V20" s="2">
        <v>22.8</v>
      </c>
      <c r="W20" s="2">
        <v>17.399999999999999</v>
      </c>
      <c r="X20" s="2">
        <v>52.9</v>
      </c>
      <c r="Y20" s="2">
        <v>54.3</v>
      </c>
      <c r="Z20" s="2">
        <v>18.3</v>
      </c>
      <c r="AA20" s="2">
        <v>45.7</v>
      </c>
      <c r="AB20" s="2">
        <v>23.9</v>
      </c>
      <c r="AC20" s="2">
        <v>44.2</v>
      </c>
      <c r="AD20" s="2">
        <v>20.2</v>
      </c>
      <c r="AE20" s="2">
        <v>31</v>
      </c>
      <c r="AF20" s="2">
        <v>8</v>
      </c>
      <c r="AG20" s="25" t="s">
        <v>38</v>
      </c>
      <c r="AH20" s="5"/>
      <c r="AI20" s="5">
        <f t="shared" ref="AI20:BK20" si="24">LN(C17)</f>
        <v>5.2566095631482463</v>
      </c>
      <c r="AJ20" s="5">
        <f t="shared" si="24"/>
        <v>5.2021368080740675</v>
      </c>
      <c r="AK20" s="5">
        <f t="shared" si="24"/>
        <v>5.3322355847514977</v>
      </c>
      <c r="AL20" s="5">
        <f t="shared" si="24"/>
        <v>4.5247190615904644</v>
      </c>
      <c r="AM20" s="5">
        <f t="shared" si="24"/>
        <v>4.0673158898341812</v>
      </c>
      <c r="AN20" s="5">
        <f t="shared" si="24"/>
        <v>3.4307561839036995</v>
      </c>
      <c r="AO20" s="5">
        <f t="shared" si="24"/>
        <v>3.6635616461296463</v>
      </c>
      <c r="AP20" s="5">
        <f t="shared" si="24"/>
        <v>3.5553480614894135</v>
      </c>
      <c r="AQ20" s="5">
        <f t="shared" si="24"/>
        <v>3.8372994592322094</v>
      </c>
      <c r="AR20" s="5">
        <f t="shared" si="24"/>
        <v>3.7471483622379123</v>
      </c>
      <c r="AS20" s="5">
        <f t="shared" si="24"/>
        <v>4.1303549997451334</v>
      </c>
      <c r="AT20" s="5">
        <f t="shared" si="24"/>
        <v>3.9318256327243257</v>
      </c>
      <c r="AU20" s="5">
        <f t="shared" si="24"/>
        <v>4.133565275375382</v>
      </c>
      <c r="AV20" s="5">
        <f t="shared" si="24"/>
        <v>3.6963514689526371</v>
      </c>
      <c r="AW20" s="5">
        <f t="shared" si="24"/>
        <v>3.824284091120139</v>
      </c>
      <c r="AX20" s="5">
        <f>LN(R17)</f>
        <v>3.2386784521643803</v>
      </c>
      <c r="AY20" s="5">
        <f t="shared" si="24"/>
        <v>3.3534067178258069</v>
      </c>
      <c r="AZ20" s="5">
        <f t="shared" si="24"/>
        <v>4.1174098351530963</v>
      </c>
      <c r="BA20" s="5">
        <f t="shared" si="24"/>
        <v>3.8938590348004749</v>
      </c>
      <c r="BB20" s="5">
        <f t="shared" si="24"/>
        <v>3.6584202466292277</v>
      </c>
      <c r="BC20" s="5">
        <f t="shared" si="24"/>
        <v>4.01096295328305</v>
      </c>
      <c r="BD20" s="5">
        <f t="shared" si="24"/>
        <v>4.5767707114663931</v>
      </c>
      <c r="BE20" s="5">
        <f t="shared" si="24"/>
        <v>4.715816706075155</v>
      </c>
      <c r="BF20" s="5">
        <f t="shared" si="24"/>
        <v>3.7999735016195233</v>
      </c>
      <c r="BG20" s="5">
        <f t="shared" si="24"/>
        <v>4.475061500641071</v>
      </c>
      <c r="BH20" s="5">
        <f t="shared" si="24"/>
        <v>4.5549289695513444</v>
      </c>
      <c r="BI20" s="5">
        <f t="shared" si="24"/>
        <v>4.1271343850450917</v>
      </c>
      <c r="BJ20" s="5">
        <f t="shared" si="24"/>
        <v>4.1239033644636454</v>
      </c>
      <c r="BK20" s="2182">
        <f t="shared" si="24"/>
        <v>4.4953553199808844</v>
      </c>
      <c r="BL20" s="2188">
        <f>LN(Y23)</f>
        <v>2.9444389791664403</v>
      </c>
      <c r="BM20" s="2188">
        <f t="shared" ref="BM20:BR20" si="25">LN(Z23)</f>
        <v>2.9704144655697009</v>
      </c>
      <c r="BN20" s="2188">
        <f t="shared" si="25"/>
        <v>3.0910424533583161</v>
      </c>
      <c r="BO20" s="2188">
        <f t="shared" si="25"/>
        <v>3.4657359027997265</v>
      </c>
      <c r="BP20" s="2188">
        <f t="shared" si="25"/>
        <v>3.2958368660043291</v>
      </c>
      <c r="BQ20" s="2188">
        <f t="shared" si="25"/>
        <v>3.417726683613366</v>
      </c>
      <c r="BR20" s="2188">
        <f t="shared" si="25"/>
        <v>3.2188758248682006</v>
      </c>
    </row>
    <row r="21" spans="1:70" ht="15.5">
      <c r="A21" s="23" t="s">
        <v>25</v>
      </c>
      <c r="C21" s="2">
        <v>2.0299999999999998</v>
      </c>
      <c r="D21" s="2">
        <v>2.12</v>
      </c>
      <c r="E21" s="2">
        <v>2.23</v>
      </c>
      <c r="F21" s="2">
        <v>1.7</v>
      </c>
      <c r="G21" s="2">
        <v>1.24</v>
      </c>
      <c r="H21" s="2">
        <v>2.5329999999999999</v>
      </c>
      <c r="I21" s="2">
        <v>1.4</v>
      </c>
      <c r="J21" s="2">
        <v>1.7</v>
      </c>
      <c r="K21" s="2">
        <v>1.8</v>
      </c>
      <c r="L21" s="2">
        <v>2.31</v>
      </c>
      <c r="M21" s="2">
        <v>2.2999999999999998</v>
      </c>
      <c r="N21" s="2">
        <v>2.7</v>
      </c>
      <c r="O21" s="2">
        <v>1.6</v>
      </c>
      <c r="P21" s="2">
        <v>2</v>
      </c>
      <c r="Q21" s="2">
        <v>1.5</v>
      </c>
      <c r="R21" s="2">
        <v>2.4</v>
      </c>
      <c r="S21" s="2">
        <v>2.5</v>
      </c>
      <c r="T21" s="2">
        <v>1.5</v>
      </c>
      <c r="U21" s="2">
        <v>1.8</v>
      </c>
      <c r="V21" s="2">
        <v>1.6</v>
      </c>
      <c r="W21" s="2">
        <v>2.2000000000000002</v>
      </c>
      <c r="X21" s="2">
        <v>1.42</v>
      </c>
      <c r="Y21" s="2">
        <v>1.1399999999999999</v>
      </c>
      <c r="Z21" s="2">
        <v>1.33</v>
      </c>
      <c r="AA21" s="2">
        <v>1.04</v>
      </c>
      <c r="AB21" s="2">
        <v>0.66</v>
      </c>
      <c r="AC21" s="2">
        <v>1.92</v>
      </c>
      <c r="AD21" s="2">
        <v>1.21</v>
      </c>
      <c r="AE21" s="1779">
        <v>1.37</v>
      </c>
      <c r="AF21" s="1779">
        <v>1.64</v>
      </c>
      <c r="AG21" s="25"/>
      <c r="AH21" s="5"/>
      <c r="AI21" s="5">
        <f>20.02*AH6</f>
        <v>102.341995522898</v>
      </c>
      <c r="AJ21" s="5">
        <f t="shared" ref="AJ21:BK21" si="26">20.02*AI6</f>
        <v>104.42041499837092</v>
      </c>
      <c r="AK21" s="5">
        <f t="shared" si="26"/>
        <v>101.88578373907771</v>
      </c>
      <c r="AL21" s="5">
        <f t="shared" si="26"/>
        <v>102.57103099385897</v>
      </c>
      <c r="AM21" s="5">
        <f t="shared" si="26"/>
        <v>89.414382793764474</v>
      </c>
      <c r="AN21" s="5">
        <f t="shared" si="26"/>
        <v>74.301718129464973</v>
      </c>
      <c r="AO21" s="5">
        <f t="shared" si="26"/>
        <v>67.714732963090725</v>
      </c>
      <c r="AP21" s="5">
        <f t="shared" si="26"/>
        <v>72.665795090968373</v>
      </c>
      <c r="AQ21" s="5">
        <f t="shared" si="26"/>
        <v>72.018191456980688</v>
      </c>
      <c r="AR21" s="5">
        <f t="shared" si="26"/>
        <v>74.6365653486897</v>
      </c>
      <c r="AS21" s="5">
        <f t="shared" si="26"/>
        <v>81.968778135686449</v>
      </c>
      <c r="AT21" s="5">
        <f t="shared" si="26"/>
        <v>78.23845998029276</v>
      </c>
      <c r="AU21" s="5">
        <f t="shared" si="26"/>
        <v>78.398620834487616</v>
      </c>
      <c r="AV21" s="5">
        <f t="shared" si="26"/>
        <v>78.117492844884381</v>
      </c>
      <c r="AW21" s="5">
        <f t="shared" si="26"/>
        <v>69.321372316011789</v>
      </c>
      <c r="AX21" s="5">
        <f t="shared" si="26"/>
        <v>73.446908470864258</v>
      </c>
      <c r="AY21" s="5">
        <f t="shared" si="26"/>
        <v>63.624637683565872</v>
      </c>
      <c r="AZ21" s="5">
        <f t="shared" si="26"/>
        <v>68.553738344954894</v>
      </c>
      <c r="BA21" s="5">
        <f t="shared" si="26"/>
        <v>78.557510557394266</v>
      </c>
      <c r="BB21" s="5">
        <f t="shared" si="26"/>
        <v>71.063340083344173</v>
      </c>
      <c r="BC21" s="5">
        <f t="shared" si="26"/>
        <v>70.360811860722549</v>
      </c>
      <c r="BD21" s="5">
        <f t="shared" si="26"/>
        <v>74.247815269830525</v>
      </c>
      <c r="BE21" s="5">
        <f t="shared" si="26"/>
        <v>82.495650648200282</v>
      </c>
      <c r="BF21" s="5">
        <f t="shared" si="26"/>
        <v>83.755185432919873</v>
      </c>
      <c r="BG21" s="5">
        <f t="shared" si="26"/>
        <v>68.422888205939586</v>
      </c>
      <c r="BH21" s="5">
        <f t="shared" si="26"/>
        <v>80.407988075462811</v>
      </c>
      <c r="BI21" s="5">
        <f t="shared" si="26"/>
        <v>82.97730980633429</v>
      </c>
      <c r="BJ21" s="5">
        <f t="shared" si="26"/>
        <v>76.209383045201804</v>
      </c>
      <c r="BK21" s="5">
        <f t="shared" si="26"/>
        <v>76.030631857700882</v>
      </c>
      <c r="BL21" s="2188">
        <f>20.02*BL20</f>
        <v>58.947668362912133</v>
      </c>
      <c r="BM21" s="2188">
        <f t="shared" ref="BM21:BR21" si="27">20.02*BM20</f>
        <v>59.467697600705414</v>
      </c>
      <c r="BN21" s="2188">
        <f t="shared" si="27"/>
        <v>61.882669916233489</v>
      </c>
      <c r="BO21" s="2188">
        <f t="shared" si="27"/>
        <v>69.384032774050524</v>
      </c>
      <c r="BP21" s="2188">
        <f t="shared" si="27"/>
        <v>65.982654057406663</v>
      </c>
      <c r="BQ21" s="2188">
        <f t="shared" si="27"/>
        <v>68.422888205939586</v>
      </c>
      <c r="BR21" s="2188">
        <f t="shared" si="27"/>
        <v>64.441894013861372</v>
      </c>
    </row>
    <row r="22" spans="1:70" ht="15.5">
      <c r="C22" s="2181">
        <f>C18/1000</f>
        <v>0.23413999999999999</v>
      </c>
      <c r="X22" s="2180">
        <v>2012</v>
      </c>
      <c r="Y22" s="2180">
        <v>2013</v>
      </c>
      <c r="Z22" s="2180">
        <v>2014</v>
      </c>
      <c r="AA22" s="2180">
        <v>2015</v>
      </c>
      <c r="AB22" s="2180">
        <v>2016</v>
      </c>
      <c r="AC22" s="2180">
        <v>2017</v>
      </c>
      <c r="AD22" s="2180">
        <v>2018</v>
      </c>
      <c r="AE22" s="2180">
        <v>2019</v>
      </c>
      <c r="AG22" s="2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BK22" s="2183"/>
      <c r="BL22" s="75"/>
      <c r="BM22" s="75"/>
      <c r="BN22" s="75"/>
      <c r="BO22" s="75"/>
      <c r="BP22" s="75"/>
      <c r="BQ22" s="75"/>
      <c r="BR22" s="75"/>
    </row>
    <row r="23" spans="1:70" ht="15.5">
      <c r="W23" s="2178" t="s">
        <v>27</v>
      </c>
      <c r="X23" s="1973">
        <v>37</v>
      </c>
      <c r="Y23" s="1973">
        <v>19</v>
      </c>
      <c r="Z23" s="1973">
        <v>19.5</v>
      </c>
      <c r="AA23" s="1973">
        <v>22</v>
      </c>
      <c r="AB23" s="1973">
        <v>32</v>
      </c>
      <c r="AC23" s="1973">
        <v>27</v>
      </c>
      <c r="AD23" s="1973">
        <v>30.5</v>
      </c>
      <c r="AE23" s="1973">
        <v>25</v>
      </c>
      <c r="AG23" s="25" t="s">
        <v>39</v>
      </c>
      <c r="AH23" s="5"/>
      <c r="AI23" s="5">
        <f>LN(1/C21-0.08)</f>
        <v>-0.88525041247950575</v>
      </c>
      <c r="AJ23" s="5">
        <f t="shared" ref="AJ23:BK23" si="28">LN(1/D21-0.08)</f>
        <v>-0.93726385525443412</v>
      </c>
      <c r="AK23" s="5">
        <f t="shared" si="28"/>
        <v>-0.998503205839816</v>
      </c>
      <c r="AL23" s="5">
        <f t="shared" si="28"/>
        <v>-0.67681076124025175</v>
      </c>
      <c r="AM23" s="5">
        <f t="shared" si="28"/>
        <v>-0.31958340121365647</v>
      </c>
      <c r="AN23" s="5">
        <f t="shared" si="28"/>
        <v>-1.1558533793424743</v>
      </c>
      <c r="AO23" s="5">
        <f t="shared" si="28"/>
        <v>-0.45525577261117983</v>
      </c>
      <c r="AP23" s="5">
        <f t="shared" si="28"/>
        <v>-0.67681076124025175</v>
      </c>
      <c r="AQ23" s="5">
        <f t="shared" si="28"/>
        <v>-0.74327156774251391</v>
      </c>
      <c r="AR23" s="5">
        <f t="shared" si="28"/>
        <v>-1.0415693216073243</v>
      </c>
      <c r="AS23" s="5">
        <f t="shared" si="28"/>
        <v>-1.0362500469531339</v>
      </c>
      <c r="AT23" s="5">
        <f t="shared" si="28"/>
        <v>-1.2365980316420127</v>
      </c>
      <c r="AU23" s="5">
        <f t="shared" si="28"/>
        <v>-0.60696948431889286</v>
      </c>
      <c r="AV23" s="5">
        <f t="shared" si="28"/>
        <v>-0.86750056770472306</v>
      </c>
      <c r="AW23" s="5">
        <f t="shared" si="28"/>
        <v>-0.53329847961804933</v>
      </c>
      <c r="AX23" s="5">
        <f t="shared" si="28"/>
        <v>-1.0886619578149417</v>
      </c>
      <c r="AY23" s="5">
        <f t="shared" si="28"/>
        <v>-1.1394342831883648</v>
      </c>
      <c r="AZ23" s="5">
        <f t="shared" si="28"/>
        <v>-0.53329847961804933</v>
      </c>
      <c r="BA23" s="5">
        <f t="shared" si="28"/>
        <v>-0.74327156774251391</v>
      </c>
      <c r="BB23" s="5">
        <f t="shared" si="28"/>
        <v>-0.60696948431889286</v>
      </c>
      <c r="BC23" s="5">
        <f t="shared" si="28"/>
        <v>-0.9820421094369356</v>
      </c>
      <c r="BD23" s="5">
        <f t="shared" si="28"/>
        <v>-0.47124383460228692</v>
      </c>
      <c r="BE23" s="5">
        <f t="shared" si="28"/>
        <v>-0.22665849342165412</v>
      </c>
      <c r="BF23" s="5">
        <f t="shared" si="28"/>
        <v>-0.39767597346080852</v>
      </c>
      <c r="BG23" s="5">
        <f t="shared" si="28"/>
        <v>-0.12608664617494328</v>
      </c>
      <c r="BH23" s="5">
        <f t="shared" si="28"/>
        <v>0.36127042910926993</v>
      </c>
      <c r="BI23" s="5">
        <f t="shared" si="28"/>
        <v>-0.81908840391779225</v>
      </c>
      <c r="BJ23" s="5">
        <f t="shared" si="28"/>
        <v>-0.29243162575533443</v>
      </c>
      <c r="BK23" s="5">
        <f t="shared" si="28"/>
        <v>-0.43089521886083548</v>
      </c>
      <c r="BL23" s="2188">
        <f>LN(1/Y27-0.08)</f>
        <v>-0.45525577261117983</v>
      </c>
      <c r="BM23" s="2188">
        <f t="shared" ref="BM23:BR23" si="29">LN(1/Z27-0.08)</f>
        <v>-0.45525577261117983</v>
      </c>
      <c r="BN23" s="2188">
        <f t="shared" si="29"/>
        <v>-0.18742546871213051</v>
      </c>
      <c r="BO23" s="2188">
        <f t="shared" si="29"/>
        <v>-0.28324747538391509</v>
      </c>
      <c r="BP23" s="2188">
        <f t="shared" si="29"/>
        <v>-0.92586018289030592</v>
      </c>
      <c r="BQ23" s="2188">
        <f t="shared" si="29"/>
        <v>-0.80672852936262884</v>
      </c>
      <c r="BR23" s="2188">
        <f t="shared" si="29"/>
        <v>-0.6353385716385731</v>
      </c>
    </row>
    <row r="24" spans="1:70" ht="15.5">
      <c r="W24" s="2178" t="s">
        <v>28</v>
      </c>
      <c r="X24" s="2179">
        <v>325</v>
      </c>
      <c r="Y24" s="1970">
        <v>342</v>
      </c>
      <c r="Z24" s="1970">
        <v>273</v>
      </c>
      <c r="AA24" s="1970">
        <v>352</v>
      </c>
      <c r="AB24" s="1970">
        <v>345</v>
      </c>
      <c r="AC24" s="1970">
        <v>251</v>
      </c>
      <c r="AD24" s="1970">
        <v>319</v>
      </c>
      <c r="AE24" s="29">
        <v>254</v>
      </c>
      <c r="AG24" s="25"/>
      <c r="AH24" s="5"/>
      <c r="AI24" s="5">
        <f>75.34+(19.46*AI23)</f>
        <v>58.11302697314882</v>
      </c>
      <c r="AJ24" s="5">
        <f t="shared" ref="AJ24:BL24" si="30">75.34+(19.46*AJ23)</f>
        <v>57.100845376748715</v>
      </c>
      <c r="AK24" s="5">
        <f t="shared" si="30"/>
        <v>55.909127614357182</v>
      </c>
      <c r="AL24" s="5">
        <f t="shared" si="30"/>
        <v>62.169262586264708</v>
      </c>
      <c r="AM24" s="5">
        <f t="shared" si="30"/>
        <v>69.120907012382247</v>
      </c>
      <c r="AN24" s="5">
        <f t="shared" si="30"/>
        <v>52.847093237995452</v>
      </c>
      <c r="AO24" s="5">
        <f t="shared" si="30"/>
        <v>66.480722664986445</v>
      </c>
      <c r="AP24" s="5">
        <f t="shared" si="30"/>
        <v>62.169262586264708</v>
      </c>
      <c r="AQ24" s="5">
        <f t="shared" si="30"/>
        <v>60.875935291730684</v>
      </c>
      <c r="AR24" s="5">
        <f t="shared" si="30"/>
        <v>55.071061001521471</v>
      </c>
      <c r="AS24" s="5">
        <f t="shared" si="30"/>
        <v>55.174574086292012</v>
      </c>
      <c r="AT24" s="5">
        <f t="shared" si="30"/>
        <v>51.27580230424644</v>
      </c>
      <c r="AU24" s="5">
        <f t="shared" si="30"/>
        <v>63.528373835154348</v>
      </c>
      <c r="AV24" s="5">
        <f t="shared" si="30"/>
        <v>58.458438952466096</v>
      </c>
      <c r="AW24" s="5">
        <f t="shared" si="30"/>
        <v>64.962011586632769</v>
      </c>
      <c r="AX24" s="5">
        <f t="shared" si="30"/>
        <v>54.154638300921235</v>
      </c>
      <c r="AY24" s="5">
        <f t="shared" si="30"/>
        <v>53.166608849154422</v>
      </c>
      <c r="AZ24" s="5">
        <f t="shared" si="30"/>
        <v>64.962011586632769</v>
      </c>
      <c r="BA24" s="5">
        <f t="shared" si="30"/>
        <v>60.875935291730684</v>
      </c>
      <c r="BB24" s="5">
        <f t="shared" si="30"/>
        <v>63.528373835154348</v>
      </c>
      <c r="BC24" s="5">
        <f t="shared" si="30"/>
        <v>56.229460550357231</v>
      </c>
      <c r="BD24" s="5">
        <f t="shared" si="30"/>
        <v>66.169594978639495</v>
      </c>
      <c r="BE24" s="5">
        <f t="shared" si="30"/>
        <v>70.929225718014607</v>
      </c>
      <c r="BF24" s="5">
        <f t="shared" si="30"/>
        <v>67.601225556452675</v>
      </c>
      <c r="BG24" s="5">
        <f t="shared" si="30"/>
        <v>72.886353865435609</v>
      </c>
      <c r="BH24" s="5">
        <f t="shared" si="30"/>
        <v>82.370322550466398</v>
      </c>
      <c r="BI24" s="5">
        <f t="shared" si="30"/>
        <v>59.400539659759765</v>
      </c>
      <c r="BJ24" s="5">
        <f t="shared" si="30"/>
        <v>69.649280562801195</v>
      </c>
      <c r="BK24" s="5">
        <f t="shared" si="30"/>
        <v>66.954779040968148</v>
      </c>
      <c r="BL24" s="2188">
        <f t="shared" si="30"/>
        <v>66.480722664986445</v>
      </c>
      <c r="BM24" s="2188">
        <f t="shared" ref="BM24" si="31">75.34+(19.46*BM23)</f>
        <v>66.480722664986445</v>
      </c>
      <c r="BN24" s="2188">
        <f t="shared" ref="BN24" si="32">75.34+(19.46*BN23)</f>
        <v>71.692700378861943</v>
      </c>
      <c r="BO24" s="2188">
        <f t="shared" ref="BO24" si="33">75.34+(19.46*BO23)</f>
        <v>69.828004129029011</v>
      </c>
      <c r="BP24" s="2188">
        <f t="shared" ref="BP24" si="34">75.34+(19.46*BP23)</f>
        <v>57.322760840954651</v>
      </c>
      <c r="BQ24" s="2188">
        <f t="shared" ref="BQ24" si="35">75.34+(19.46*BQ23)</f>
        <v>59.641062818603245</v>
      </c>
      <c r="BR24" s="2188">
        <f t="shared" ref="BR24" si="36">75.34+(19.46*BR23)</f>
        <v>62.97631139591337</v>
      </c>
    </row>
    <row r="25" spans="1:70" ht="15.5">
      <c r="W25" s="2178" t="s">
        <v>29</v>
      </c>
      <c r="X25" s="1970"/>
      <c r="Y25" s="1970">
        <v>6</v>
      </c>
      <c r="Z25" s="1970">
        <v>4</v>
      </c>
      <c r="AA25" s="1970">
        <v>2.6</v>
      </c>
      <c r="AB25" s="1970">
        <v>6.7</v>
      </c>
      <c r="AC25" s="1970">
        <v>3</v>
      </c>
      <c r="AD25" s="1970">
        <v>9.1999999999999993</v>
      </c>
      <c r="AE25" s="29">
        <v>4</v>
      </c>
      <c r="AG25" s="2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BK25" s="2183"/>
      <c r="BL25" s="75"/>
      <c r="BM25" s="75"/>
      <c r="BN25" s="75"/>
      <c r="BO25" s="75"/>
      <c r="BP25" s="75"/>
      <c r="BQ25" s="75"/>
      <c r="BR25" s="75"/>
    </row>
    <row r="26" spans="1:70" ht="28">
      <c r="W26" s="2178" t="s">
        <v>30</v>
      </c>
      <c r="X26" s="1970"/>
      <c r="Y26" s="1970">
        <v>27</v>
      </c>
      <c r="Z26" s="1970">
        <v>7.7</v>
      </c>
      <c r="AA26" s="1970">
        <v>4.4000000000000004</v>
      </c>
      <c r="AB26" s="1970">
        <v>19.8</v>
      </c>
      <c r="AC26" s="1970">
        <v>4.3</v>
      </c>
      <c r="AD26" s="1970">
        <v>33.200000000000003</v>
      </c>
      <c r="AE26" s="29">
        <v>8</v>
      </c>
      <c r="AG26" s="25" t="s">
        <v>118</v>
      </c>
      <c r="AH26" s="5"/>
      <c r="AI26" s="5">
        <f>LN(C17/1000)</f>
        <v>-1.6511457158338907</v>
      </c>
      <c r="AJ26" s="5">
        <f t="shared" ref="AJ26:BK26" si="37">LN(D17/1000)</f>
        <v>-1.7056184709080697</v>
      </c>
      <c r="AK26" s="5">
        <f t="shared" si="37"/>
        <v>-1.5755196942306398</v>
      </c>
      <c r="AL26" s="5">
        <f t="shared" si="37"/>
        <v>-2.3830362173916728</v>
      </c>
      <c r="AM26" s="5">
        <f t="shared" si="37"/>
        <v>-2.8404393891479556</v>
      </c>
      <c r="AN26" s="5">
        <f t="shared" si="37"/>
        <v>-3.4769990950784373</v>
      </c>
      <c r="AO26" s="5">
        <f t="shared" si="37"/>
        <v>-3.2441936328524905</v>
      </c>
      <c r="AP26" s="5">
        <f t="shared" si="37"/>
        <v>-3.3524072174927233</v>
      </c>
      <c r="AQ26" s="5">
        <f t="shared" si="37"/>
        <v>-3.0704558197499274</v>
      </c>
      <c r="AR26" s="5">
        <f t="shared" si="37"/>
        <v>-3.160606916744225</v>
      </c>
      <c r="AS26" s="5">
        <f t="shared" si="37"/>
        <v>-2.7774002792370034</v>
      </c>
      <c r="AT26" s="5">
        <f t="shared" si="37"/>
        <v>-2.9759296462578115</v>
      </c>
      <c r="AU26" s="5">
        <f t="shared" si="37"/>
        <v>-2.7741900036067553</v>
      </c>
      <c r="AV26" s="5">
        <f t="shared" si="37"/>
        <v>-3.2114038100294997</v>
      </c>
      <c r="AW26" s="5">
        <f t="shared" si="37"/>
        <v>-3.0834711878619978</v>
      </c>
      <c r="AX26" s="5">
        <f t="shared" si="37"/>
        <v>-3.6690768268177565</v>
      </c>
      <c r="AY26" s="5">
        <f t="shared" si="37"/>
        <v>-3.5543485611563299</v>
      </c>
      <c r="AZ26" s="5">
        <f t="shared" si="37"/>
        <v>-2.7903454438290405</v>
      </c>
      <c r="BA26" s="5">
        <f t="shared" si="37"/>
        <v>-3.0138962441816619</v>
      </c>
      <c r="BB26" s="5">
        <f t="shared" si="37"/>
        <v>-3.2493350323529095</v>
      </c>
      <c r="BC26" s="5">
        <f t="shared" si="37"/>
        <v>-2.8967923256990873</v>
      </c>
      <c r="BD26" s="5">
        <f t="shared" si="37"/>
        <v>-2.3309845675157437</v>
      </c>
      <c r="BE26" s="5">
        <f t="shared" si="37"/>
        <v>-2.1919385729069818</v>
      </c>
      <c r="BF26" s="5">
        <f t="shared" si="37"/>
        <v>-3.107781777362614</v>
      </c>
      <c r="BG26" s="5">
        <f t="shared" si="37"/>
        <v>-2.4326937783410663</v>
      </c>
      <c r="BH26" s="5">
        <f t="shared" si="37"/>
        <v>-2.3528263094307924</v>
      </c>
      <c r="BI26" s="5">
        <f t="shared" si="37"/>
        <v>-2.7806208939370456</v>
      </c>
      <c r="BJ26" s="5">
        <f t="shared" si="37"/>
        <v>-2.7838519145184919</v>
      </c>
      <c r="BK26" s="5">
        <f t="shared" si="37"/>
        <v>-2.4123999590012524</v>
      </c>
      <c r="BL26" s="2188">
        <f>LN(X24/1000)</f>
        <v>-1.1239300966523995</v>
      </c>
      <c r="BM26" s="2188">
        <f t="shared" ref="BM26:BR26" si="38">LN(Y24/1000)</f>
        <v>-1.0729445419195318</v>
      </c>
      <c r="BN26" s="2188">
        <f t="shared" si="38"/>
        <v>-1.2982834837971773</v>
      </c>
      <c r="BO26" s="2188">
        <f t="shared" si="38"/>
        <v>-1.04412410338404</v>
      </c>
      <c r="BP26" s="2188">
        <f t="shared" si="38"/>
        <v>-1.0642108619507773</v>
      </c>
      <c r="BQ26" s="2188">
        <f t="shared" si="38"/>
        <v>-1.3823023398503531</v>
      </c>
      <c r="BR26" s="2188">
        <f t="shared" si="38"/>
        <v>-1.1425641761972924</v>
      </c>
    </row>
    <row r="27" spans="1:70" ht="15.5">
      <c r="W27" s="2178" t="s">
        <v>25</v>
      </c>
      <c r="X27" s="2179">
        <v>1.3</v>
      </c>
      <c r="Y27" s="1970">
        <v>1.4</v>
      </c>
      <c r="Z27" s="1970">
        <v>1.4</v>
      </c>
      <c r="AA27" s="1970">
        <v>1.1000000000000001</v>
      </c>
      <c r="AB27" s="1970">
        <v>1.2</v>
      </c>
      <c r="AC27" s="1970">
        <v>2.1</v>
      </c>
      <c r="AD27" s="1970">
        <v>1.9</v>
      </c>
      <c r="AE27" s="2179">
        <v>1.64</v>
      </c>
      <c r="AG27" s="25"/>
      <c r="AH27" s="5"/>
      <c r="AI27" s="5">
        <f>54.45+14.43*AI26</f>
        <v>30.623967320516961</v>
      </c>
      <c r="AJ27" s="5">
        <f t="shared" ref="AJ27:BR27" si="39">54.45+14.43*AJ26</f>
        <v>29.837925464796559</v>
      </c>
      <c r="AK27" s="5">
        <f t="shared" si="39"/>
        <v>31.71525081225187</v>
      </c>
      <c r="AL27" s="5">
        <f t="shared" si="39"/>
        <v>20.062787383038163</v>
      </c>
      <c r="AM27" s="5">
        <f t="shared" si="39"/>
        <v>13.462459614595005</v>
      </c>
      <c r="AN27" s="5">
        <f t="shared" si="39"/>
        <v>4.2769030580181564</v>
      </c>
      <c r="AO27" s="5">
        <f t="shared" si="39"/>
        <v>7.6362858779385689</v>
      </c>
      <c r="AP27" s="5">
        <f t="shared" si="39"/>
        <v>6.0747638515800091</v>
      </c>
      <c r="AQ27" s="5">
        <f t="shared" si="39"/>
        <v>10.14332252100855</v>
      </c>
      <c r="AR27" s="5">
        <f t="shared" si="39"/>
        <v>8.8424421913808402</v>
      </c>
      <c r="AS27" s="5">
        <f t="shared" si="39"/>
        <v>14.372113970610044</v>
      </c>
      <c r="AT27" s="5">
        <f t="shared" si="39"/>
        <v>11.507335204499782</v>
      </c>
      <c r="AU27" s="5">
        <f t="shared" si="39"/>
        <v>14.418438247954526</v>
      </c>
      <c r="AV27" s="5">
        <f t="shared" si="39"/>
        <v>8.1094430212743234</v>
      </c>
      <c r="AW27" s="5">
        <f t="shared" si="39"/>
        <v>9.9555107591513732</v>
      </c>
      <c r="AX27" s="5">
        <f t="shared" si="39"/>
        <v>1.5052213890197805</v>
      </c>
      <c r="AY27" s="5">
        <f t="shared" si="39"/>
        <v>3.1607502625141635</v>
      </c>
      <c r="AZ27" s="5">
        <f t="shared" si="39"/>
        <v>14.185315245546953</v>
      </c>
      <c r="BA27" s="5">
        <f t="shared" si="39"/>
        <v>10.959477196458622</v>
      </c>
      <c r="BB27" s="5">
        <f t="shared" si="39"/>
        <v>7.562095483147516</v>
      </c>
      <c r="BC27" s="5">
        <f t="shared" si="39"/>
        <v>12.649286740162175</v>
      </c>
      <c r="BD27" s="5">
        <f t="shared" si="39"/>
        <v>20.813892690747821</v>
      </c>
      <c r="BE27" s="5">
        <f t="shared" si="39"/>
        <v>22.820326392952257</v>
      </c>
      <c r="BF27" s="5">
        <f t="shared" si="39"/>
        <v>9.6047089526574823</v>
      </c>
      <c r="BG27" s="5">
        <f t="shared" si="39"/>
        <v>19.346228778538418</v>
      </c>
      <c r="BH27" s="5">
        <f t="shared" si="39"/>
        <v>20.498716354913668</v>
      </c>
      <c r="BI27" s="5">
        <f t="shared" si="39"/>
        <v>14.325640500488433</v>
      </c>
      <c r="BJ27" s="5">
        <f t="shared" si="39"/>
        <v>14.279016873498165</v>
      </c>
      <c r="BK27" s="2182">
        <f t="shared" si="39"/>
        <v>19.639068591611931</v>
      </c>
      <c r="BL27" s="2188">
        <f t="shared" si="39"/>
        <v>38.231688705305878</v>
      </c>
      <c r="BM27" s="2188">
        <f t="shared" si="39"/>
        <v>38.967410260101161</v>
      </c>
      <c r="BN27" s="2188">
        <f t="shared" si="39"/>
        <v>35.715769328806736</v>
      </c>
      <c r="BO27" s="2188">
        <f t="shared" si="39"/>
        <v>39.383289188168305</v>
      </c>
      <c r="BP27" s="2188">
        <f t="shared" si="39"/>
        <v>39.093437262050287</v>
      </c>
      <c r="BQ27" s="2188">
        <f t="shared" si="39"/>
        <v>34.503377235959405</v>
      </c>
      <c r="BR27" s="2188">
        <f t="shared" si="39"/>
        <v>37.962798937473075</v>
      </c>
    </row>
    <row r="28" spans="1:70" ht="15.5">
      <c r="AG28" s="2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BK28" s="2183"/>
      <c r="BL28" s="75"/>
      <c r="BM28" s="75"/>
      <c r="BN28" s="75"/>
      <c r="BO28" s="75"/>
      <c r="BP28" s="75"/>
      <c r="BQ28" s="75"/>
      <c r="BR28" s="75"/>
    </row>
    <row r="29" spans="1:70" ht="15.5">
      <c r="AG29" s="25" t="s">
        <v>40</v>
      </c>
      <c r="AH29" s="5"/>
      <c r="AI29" s="2">
        <f>AVERAGE(AI24,AI21,AI18)</f>
        <v>66.803097348550125</v>
      </c>
      <c r="AJ29" s="2">
        <f t="shared" ref="AJ29:BJ29" si="40">AVERAGE(AJ24,AJ21,AJ18)</f>
        <v>72.362264735033875</v>
      </c>
      <c r="AK29" s="2">
        <f t="shared" si="40"/>
        <v>72.085447364115552</v>
      </c>
      <c r="AL29" s="2">
        <f t="shared" si="40"/>
        <v>77.314067535506467</v>
      </c>
      <c r="AM29" s="2">
        <f t="shared" si="40"/>
        <v>71.020135901887741</v>
      </c>
      <c r="AN29" s="2">
        <f t="shared" si="40"/>
        <v>64.287244997284233</v>
      </c>
      <c r="AO29" s="2">
        <f t="shared" si="40"/>
        <v>60.010875724781918</v>
      </c>
      <c r="AP29" s="2">
        <f t="shared" si="40"/>
        <v>56.368080563047762</v>
      </c>
      <c r="AQ29" s="2">
        <f t="shared" si="40"/>
        <v>56.402981732137675</v>
      </c>
      <c r="AR29" s="2">
        <f t="shared" si="40"/>
        <v>62.789318931423743</v>
      </c>
      <c r="AS29" s="2">
        <f t="shared" si="40"/>
        <v>67.55576609832103</v>
      </c>
      <c r="AT29" s="2">
        <f t="shared" si="40"/>
        <v>64.309138487115874</v>
      </c>
      <c r="AU29" s="2">
        <f t="shared" si="40"/>
        <v>68.000416208765756</v>
      </c>
      <c r="AV29" s="2">
        <f t="shared" si="40"/>
        <v>62.478561958322238</v>
      </c>
      <c r="AW29" s="2">
        <f t="shared" si="40"/>
        <v>64.60209901588199</v>
      </c>
      <c r="AX29" s="2">
        <f t="shared" si="40"/>
        <v>61.602757818168946</v>
      </c>
      <c r="AY29" s="2">
        <f t="shared" si="40"/>
        <v>54.594211307880414</v>
      </c>
      <c r="AZ29" s="2">
        <f t="shared" si="40"/>
        <v>66.795383368394411</v>
      </c>
      <c r="BA29" s="2">
        <f t="shared" si="40"/>
        <v>68.278047769522729</v>
      </c>
      <c r="BB29" s="2">
        <f t="shared" si="40"/>
        <v>64.610931329375902</v>
      </c>
      <c r="BC29" s="2">
        <f t="shared" si="40"/>
        <v>59.424750272089362</v>
      </c>
      <c r="BD29" s="2">
        <f t="shared" si="40"/>
        <v>68.963721529925408</v>
      </c>
      <c r="BE29" s="2">
        <f t="shared" si="40"/>
        <v>73.542261797536881</v>
      </c>
      <c r="BF29" s="2">
        <f t="shared" si="40"/>
        <v>67.290938504275118</v>
      </c>
      <c r="BG29" s="2">
        <f t="shared" si="40"/>
        <v>68.380808314577877</v>
      </c>
      <c r="BH29" s="2">
        <f t="shared" si="40"/>
        <v>73.812880356663086</v>
      </c>
      <c r="BI29" s="2">
        <f t="shared" si="40"/>
        <v>69.091580074969215</v>
      </c>
      <c r="BJ29" s="2">
        <f t="shared" si="40"/>
        <v>68.172998017354345</v>
      </c>
      <c r="BK29" s="2">
        <f>AVERAGE(BK24,BK21,BK18)</f>
        <v>66.979082657813152</v>
      </c>
      <c r="BL29" s="2193">
        <f t="shared" ref="BL29:BR29" si="41">AVERAGE(BL27,BL24,BL21,BL18)</f>
        <v>52.374312819868251</v>
      </c>
      <c r="BM29" s="2193">
        <f t="shared" si="41"/>
        <v>51.226548803285461</v>
      </c>
      <c r="BN29" s="2193">
        <f t="shared" si="41"/>
        <v>50.767403665299447</v>
      </c>
      <c r="BO29" s="2193">
        <f t="shared" si="41"/>
        <v>56.505929155472856</v>
      </c>
      <c r="BP29" s="2193">
        <f t="shared" si="41"/>
        <v>49.560210340751432</v>
      </c>
      <c r="BQ29" s="2193">
        <f t="shared" si="41"/>
        <v>53.642060625143813</v>
      </c>
      <c r="BR29" s="2193">
        <f t="shared" si="41"/>
        <v>51.342842258649164</v>
      </c>
    </row>
    <row r="30" spans="1:70">
      <c r="AG30" s="23"/>
      <c r="AH30" s="5"/>
      <c r="AI30" s="2254" t="s">
        <v>95</v>
      </c>
      <c r="AJ30" s="2254"/>
      <c r="AK30" s="2254"/>
      <c r="AL30" s="2254"/>
      <c r="AM30" s="2254"/>
      <c r="AN30" s="2254" t="s">
        <v>96</v>
      </c>
      <c r="AO30" s="2254"/>
      <c r="AP30" s="2254"/>
      <c r="AQ30" s="2254"/>
      <c r="AR30" s="2254"/>
      <c r="AS30" s="2254"/>
      <c r="AT30" s="2254"/>
      <c r="AU30" s="2184" t="s">
        <v>94</v>
      </c>
      <c r="AV30" s="2254" t="s">
        <v>96</v>
      </c>
      <c r="AW30" s="2254"/>
      <c r="AX30" s="2254"/>
      <c r="AY30" s="2254"/>
      <c r="AZ30" s="2254" t="s">
        <v>94</v>
      </c>
      <c r="BA30" s="2254"/>
      <c r="BB30" s="2254"/>
      <c r="BC30" s="2184" t="s">
        <v>96</v>
      </c>
      <c r="BD30" s="2254" t="s">
        <v>95</v>
      </c>
      <c r="BE30" s="2254"/>
      <c r="BF30" s="2254" t="s">
        <v>94</v>
      </c>
      <c r="BG30" s="2254"/>
      <c r="BH30" s="2184" t="s">
        <v>95</v>
      </c>
      <c r="BI30" s="2254" t="s">
        <v>94</v>
      </c>
      <c r="BJ30" s="2254"/>
      <c r="BK30" s="2254"/>
      <c r="BL30" s="2261" t="s">
        <v>96</v>
      </c>
      <c r="BM30" s="2261"/>
      <c r="BN30" s="2261"/>
      <c r="BO30" s="2261"/>
      <c r="BP30" s="279" t="s">
        <v>1881</v>
      </c>
      <c r="BQ30" s="1135" t="s">
        <v>96</v>
      </c>
      <c r="BR30" s="2185" t="s">
        <v>96</v>
      </c>
    </row>
    <row r="31" spans="1:70">
      <c r="AH31" s="5"/>
      <c r="AI31" s="27">
        <v>1991</v>
      </c>
      <c r="AJ31" s="27">
        <v>1992</v>
      </c>
      <c r="AK31" s="27">
        <v>1993</v>
      </c>
      <c r="AL31" s="27">
        <v>1994</v>
      </c>
      <c r="AM31" s="27">
        <v>1995</v>
      </c>
      <c r="AN31" s="27">
        <v>1996</v>
      </c>
      <c r="AO31" s="27">
        <v>1997</v>
      </c>
      <c r="AP31" s="27">
        <v>1998</v>
      </c>
      <c r="AQ31" s="27">
        <v>1999</v>
      </c>
      <c r="AR31" s="27">
        <v>2000</v>
      </c>
      <c r="AS31" s="27">
        <v>2001</v>
      </c>
      <c r="AT31" s="27">
        <v>2002</v>
      </c>
      <c r="AU31" s="27">
        <v>2003</v>
      </c>
      <c r="AV31" s="27">
        <v>2004</v>
      </c>
      <c r="AW31" s="27">
        <v>2005</v>
      </c>
      <c r="AX31" s="27">
        <v>2006</v>
      </c>
      <c r="AY31" s="27">
        <v>2007</v>
      </c>
      <c r="AZ31" s="27">
        <v>2008</v>
      </c>
      <c r="BA31" s="27">
        <v>2009</v>
      </c>
      <c r="BB31" s="27">
        <v>2010</v>
      </c>
      <c r="BC31" s="27">
        <v>2011</v>
      </c>
      <c r="BD31" s="27">
        <v>2012</v>
      </c>
      <c r="BE31" s="27">
        <v>2013</v>
      </c>
      <c r="BF31" s="27">
        <v>2014</v>
      </c>
      <c r="BG31" s="27">
        <v>2015</v>
      </c>
      <c r="BH31" s="27">
        <v>2016</v>
      </c>
      <c r="BI31" s="27">
        <v>2017</v>
      </c>
      <c r="BJ31" s="27">
        <v>2018</v>
      </c>
      <c r="BK31" s="27">
        <v>2019</v>
      </c>
      <c r="BL31" s="27">
        <v>2013</v>
      </c>
      <c r="BM31" s="27">
        <v>2014</v>
      </c>
      <c r="BN31" s="27">
        <v>2015</v>
      </c>
      <c r="BO31" s="27">
        <v>2016</v>
      </c>
      <c r="BP31" s="27">
        <v>2017</v>
      </c>
      <c r="BQ31" s="27">
        <v>2018</v>
      </c>
      <c r="BR31" s="27">
        <v>2019</v>
      </c>
    </row>
    <row r="33" spans="63:70">
      <c r="BK33" t="s">
        <v>1897</v>
      </c>
      <c r="BL33">
        <v>50</v>
      </c>
      <c r="BM33" s="1969">
        <v>50</v>
      </c>
      <c r="BN33" s="1969">
        <v>50</v>
      </c>
      <c r="BO33" s="1969">
        <v>50</v>
      </c>
      <c r="BP33" s="1969">
        <v>50</v>
      </c>
      <c r="BQ33" s="1969">
        <v>50</v>
      </c>
      <c r="BR33" s="1969">
        <v>50</v>
      </c>
    </row>
    <row r="52" spans="1:7" ht="26">
      <c r="A52" s="2253" t="s">
        <v>131</v>
      </c>
      <c r="B52" s="2253"/>
      <c r="C52" s="2253"/>
      <c r="D52" s="2253"/>
      <c r="E52" s="2253"/>
      <c r="G52" s="281" t="s">
        <v>105</v>
      </c>
    </row>
    <row r="53" spans="1:7" ht="39">
      <c r="A53" s="1" t="s">
        <v>53</v>
      </c>
      <c r="B53" s="2262" t="s">
        <v>97</v>
      </c>
      <c r="C53" s="2262"/>
      <c r="D53" s="2262"/>
      <c r="E53" s="2262"/>
      <c r="G53" s="281" t="s">
        <v>63</v>
      </c>
    </row>
    <row r="54" spans="1:7">
      <c r="A54" s="1" t="s">
        <v>54</v>
      </c>
      <c r="B54" s="2262" t="s">
        <v>55</v>
      </c>
      <c r="C54" s="2262"/>
      <c r="D54" s="2262"/>
      <c r="E54" s="2262"/>
      <c r="G54" s="281" t="s">
        <v>103</v>
      </c>
    </row>
    <row r="55" spans="1:7" ht="26">
      <c r="A55" s="1" t="s">
        <v>92</v>
      </c>
      <c r="B55" s="2262" t="s">
        <v>93</v>
      </c>
      <c r="C55" s="2262"/>
      <c r="D55" s="2262"/>
      <c r="E55" s="2262"/>
      <c r="G55" s="281" t="s">
        <v>104</v>
      </c>
    </row>
    <row r="56" spans="1:7">
      <c r="A56" s="1" t="s">
        <v>56</v>
      </c>
      <c r="B56" s="2262" t="s">
        <v>57</v>
      </c>
      <c r="C56" s="2262"/>
      <c r="D56" s="2262"/>
      <c r="E56" s="2262"/>
    </row>
    <row r="57" spans="1:7">
      <c r="A57" s="1" t="s">
        <v>90</v>
      </c>
      <c r="B57" s="2262" t="s">
        <v>91</v>
      </c>
      <c r="C57" s="2262"/>
      <c r="D57" s="2262"/>
      <c r="E57" s="2262"/>
    </row>
    <row r="58" spans="1:7">
      <c r="A58" s="1" t="s">
        <v>58</v>
      </c>
      <c r="B58" s="2262" t="s">
        <v>59</v>
      </c>
      <c r="C58" s="2262"/>
      <c r="D58" s="2262"/>
      <c r="E58" s="2262"/>
    </row>
    <row r="59" spans="1:7">
      <c r="A59" s="1" t="s">
        <v>77</v>
      </c>
      <c r="B59" s="2262" t="s">
        <v>78</v>
      </c>
      <c r="C59" s="2262"/>
      <c r="D59" s="2262"/>
      <c r="E59" s="2262"/>
    </row>
    <row r="60" spans="1:7">
      <c r="A60" s="2253" t="s">
        <v>60</v>
      </c>
      <c r="B60" s="2253"/>
      <c r="C60" s="2253"/>
      <c r="D60" s="2253"/>
      <c r="E60" s="2253"/>
    </row>
    <row r="61" spans="1:7" ht="65">
      <c r="A61" s="1" t="s">
        <v>61</v>
      </c>
      <c r="B61" s="1" t="s">
        <v>57</v>
      </c>
    </row>
    <row r="88" spans="1:1">
      <c r="A88" s="12"/>
    </row>
    <row r="89" spans="1:1">
      <c r="A89" s="12"/>
    </row>
    <row r="90" spans="1:1">
      <c r="A90" s="12"/>
    </row>
  </sheetData>
  <mergeCells count="22">
    <mergeCell ref="BL15:BR15"/>
    <mergeCell ref="B54:E54"/>
    <mergeCell ref="B55:E55"/>
    <mergeCell ref="A60:E60"/>
    <mergeCell ref="B56:E56"/>
    <mergeCell ref="B57:E57"/>
    <mergeCell ref="B58:E58"/>
    <mergeCell ref="B59:E59"/>
    <mergeCell ref="BL30:BO30"/>
    <mergeCell ref="B53:E53"/>
    <mergeCell ref="BI30:BK30"/>
    <mergeCell ref="BF30:BG30"/>
    <mergeCell ref="AV30:AY30"/>
    <mergeCell ref="AZ30:BB30"/>
    <mergeCell ref="BD30:BE30"/>
    <mergeCell ref="AG1:AT1"/>
    <mergeCell ref="A2:N2"/>
    <mergeCell ref="A15:N15"/>
    <mergeCell ref="AG15:AT15"/>
    <mergeCell ref="A52:E52"/>
    <mergeCell ref="AI30:AM30"/>
    <mergeCell ref="AN30:AT30"/>
  </mergeCells>
  <phoneticPr fontId="11" type="noConversion"/>
  <pageMargins left="0.75" right="0.75" top="1" bottom="1" header="0.5" footer="0.5"/>
  <pageSetup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AW435"/>
  <sheetViews>
    <sheetView zoomScaleNormal="100" workbookViewId="0">
      <selection activeCell="B18" sqref="B18"/>
    </sheetView>
  </sheetViews>
  <sheetFormatPr defaultRowHeight="14"/>
  <cols>
    <col min="1" max="1" width="19.26953125" style="712" bestFit="1" customWidth="1"/>
    <col min="2" max="2" width="11.36328125" style="710" bestFit="1" customWidth="1"/>
    <col min="3" max="3" width="10.1796875" style="710" bestFit="1" customWidth="1"/>
    <col min="4" max="4" width="7" style="710" bestFit="1" customWidth="1"/>
    <col min="5" max="5" width="7.90625" style="710" bestFit="1" customWidth="1"/>
    <col min="6" max="6" width="10.81640625" style="710" bestFit="1" customWidth="1"/>
    <col min="7" max="7" width="6.90625" style="710" bestFit="1" customWidth="1"/>
    <col min="8" max="8" width="8.36328125" style="710" bestFit="1" customWidth="1"/>
    <col min="9" max="9" width="7" style="710" bestFit="1" customWidth="1"/>
    <col min="10" max="12" width="7.08984375" style="710" bestFit="1" customWidth="1"/>
    <col min="13" max="13" width="7" style="710" bestFit="1" customWidth="1"/>
    <col min="14" max="14" width="13.90625" style="710" customWidth="1"/>
    <col min="15" max="15" width="13.08984375" style="710" customWidth="1"/>
    <col min="16" max="16" width="11.90625" style="710" customWidth="1"/>
    <col min="17" max="17" width="10.6328125" style="710" customWidth="1"/>
    <col min="18" max="18" width="10.453125" style="710" customWidth="1"/>
    <col min="19" max="19" width="10.36328125" style="710" customWidth="1"/>
    <col min="20" max="20" width="11.453125" style="710" customWidth="1"/>
    <col min="21" max="21" width="9.6328125" style="710" customWidth="1"/>
    <col min="22" max="22" width="10.90625" style="710" customWidth="1"/>
    <col min="23" max="23" width="9.90625" style="710" customWidth="1"/>
    <col min="24" max="24" width="17" style="710" customWidth="1"/>
    <col min="25" max="25" width="10.90625" style="710" customWidth="1"/>
    <col min="26" max="26" width="11.08984375" style="710" customWidth="1"/>
    <col min="27" max="27" width="11.453125" style="710" customWidth="1"/>
    <col min="28" max="28" width="12" style="710" customWidth="1"/>
    <col min="29" max="29" width="10.453125" style="710" customWidth="1"/>
    <col min="30" max="30" width="12.08984375" style="710" customWidth="1"/>
    <col min="31" max="31" width="11.6328125" style="710" customWidth="1"/>
    <col min="32" max="32" width="8.7265625" style="710"/>
    <col min="33" max="33" width="9.54296875" style="711" bestFit="1" customWidth="1"/>
    <col min="34" max="34" width="10.54296875" style="710" bestFit="1" customWidth="1"/>
    <col min="35" max="35" width="4.08984375" style="710" bestFit="1" customWidth="1"/>
    <col min="36" max="45" width="8.7265625" style="710"/>
    <col min="46" max="46" width="6.08984375" style="710" bestFit="1" customWidth="1"/>
    <col min="47" max="16384" width="8.7265625" style="710"/>
  </cols>
  <sheetData>
    <row r="1" spans="1:49" ht="14.5" thickBot="1">
      <c r="A1" s="2265" t="s">
        <v>233</v>
      </c>
      <c r="B1" s="2265"/>
      <c r="C1" s="2265"/>
      <c r="D1" s="2265"/>
      <c r="E1" s="2265"/>
      <c r="F1" s="2265"/>
      <c r="G1" s="2265"/>
      <c r="H1" s="2265"/>
      <c r="I1" s="2265"/>
      <c r="J1" s="2265"/>
      <c r="K1" s="2265"/>
      <c r="L1" s="2265"/>
      <c r="M1" s="2265"/>
      <c r="N1" s="2265"/>
      <c r="O1" s="2265"/>
      <c r="P1" s="2265"/>
    </row>
    <row r="2" spans="1:49" ht="15" customHeight="1" thickBot="1">
      <c r="B2" s="2274" t="s">
        <v>154</v>
      </c>
      <c r="C2" s="2274"/>
      <c r="AG2" s="1064" t="s">
        <v>1237</v>
      </c>
      <c r="AH2" s="1065" t="s">
        <v>1247</v>
      </c>
      <c r="AI2" t="s">
        <v>1379</v>
      </c>
      <c r="AT2" s="2200" t="s">
        <v>1237</v>
      </c>
      <c r="AU2" s="2201" t="s">
        <v>1899</v>
      </c>
      <c r="AV2" s="2202" t="s">
        <v>1900</v>
      </c>
    </row>
    <row r="3" spans="1:49" ht="28.5" thickBot="1">
      <c r="A3" s="713" t="s">
        <v>2</v>
      </c>
      <c r="B3" s="1400" t="s">
        <v>64</v>
      </c>
      <c r="C3" s="1400" t="s">
        <v>65</v>
      </c>
      <c r="D3" s="1400" t="s">
        <v>66</v>
      </c>
      <c r="E3" s="1400" t="s">
        <v>67</v>
      </c>
      <c r="F3" s="1400" t="s">
        <v>68</v>
      </c>
      <c r="G3" s="1400" t="s">
        <v>69</v>
      </c>
      <c r="H3" s="1400" t="s">
        <v>70</v>
      </c>
      <c r="I3" s="1400" t="s">
        <v>71</v>
      </c>
      <c r="J3" s="1400" t="s">
        <v>72</v>
      </c>
      <c r="K3" s="1400" t="s">
        <v>73</v>
      </c>
      <c r="L3" s="1400" t="s">
        <v>74</v>
      </c>
      <c r="M3" s="1400" t="s">
        <v>75</v>
      </c>
      <c r="T3" s="710" t="s">
        <v>150</v>
      </c>
      <c r="U3" s="710" t="s">
        <v>151</v>
      </c>
      <c r="V3" s="710" t="s">
        <v>152</v>
      </c>
      <c r="W3" s="710" t="s">
        <v>153</v>
      </c>
      <c r="X3" s="710" t="s">
        <v>303</v>
      </c>
      <c r="AG3" s="1237">
        <v>43466</v>
      </c>
      <c r="AH3" s="772">
        <v>1357</v>
      </c>
      <c r="AI3" s="773">
        <v>92.6</v>
      </c>
      <c r="AT3" s="2206">
        <f>AVERAGE(AV3:AV435)</f>
        <v>28.336194895591667</v>
      </c>
      <c r="AU3" s="2199">
        <v>40.4</v>
      </c>
      <c r="AV3" s="2203">
        <v>13.9</v>
      </c>
      <c r="AW3" s="710">
        <f>AVERAGE(AV3:AV435)</f>
        <v>28.336194895591667</v>
      </c>
    </row>
    <row r="4" spans="1:49" s="717" customFormat="1" ht="15" thickBot="1">
      <c r="A4" s="1401" t="s">
        <v>884</v>
      </c>
      <c r="B4" s="1402">
        <v>14</v>
      </c>
      <c r="C4" s="1402">
        <v>12</v>
      </c>
      <c r="D4" s="1402">
        <v>16</v>
      </c>
      <c r="E4" s="1402">
        <v>18.600000000000001</v>
      </c>
      <c r="F4" s="1402">
        <v>25.5</v>
      </c>
      <c r="G4" s="1402">
        <v>84.2</v>
      </c>
      <c r="H4" s="1402">
        <v>72.5</v>
      </c>
      <c r="I4" s="1402">
        <v>36.799999999999997</v>
      </c>
      <c r="J4" s="1402">
        <v>15.6</v>
      </c>
      <c r="K4" s="621">
        <v>14.9</v>
      </c>
      <c r="L4" s="621">
        <v>14.9</v>
      </c>
      <c r="M4" s="621">
        <v>21.9</v>
      </c>
      <c r="N4" s="1321">
        <f>AVERAGE(B4:M4)</f>
        <v>28.908333333333331</v>
      </c>
      <c r="O4" s="1062">
        <v>10.915806451612903</v>
      </c>
      <c r="P4" s="6" t="s">
        <v>1238</v>
      </c>
      <c r="Q4" s="716"/>
      <c r="T4" s="718">
        <v>2</v>
      </c>
      <c r="U4" s="119">
        <v>0.81</v>
      </c>
      <c r="V4" s="719">
        <v>0.97</v>
      </c>
      <c r="W4" s="719">
        <f>U4*4</f>
        <v>3.24</v>
      </c>
      <c r="X4" s="720">
        <f t="shared" ref="X4:X9" si="0">V4*W4</f>
        <v>3.1428000000000003</v>
      </c>
      <c r="Z4" s="719">
        <v>1</v>
      </c>
      <c r="AA4" s="720">
        <v>0.34100000000000003</v>
      </c>
      <c r="AG4" s="1238">
        <v>43467</v>
      </c>
      <c r="AH4" s="775">
        <v>1360</v>
      </c>
      <c r="AI4" s="714">
        <v>92.8</v>
      </c>
      <c r="AT4" s="2206">
        <v>43498</v>
      </c>
      <c r="AU4" s="2199">
        <v>42.9</v>
      </c>
      <c r="AV4" s="2203">
        <v>13.4</v>
      </c>
    </row>
    <row r="5" spans="1:49" s="717" customFormat="1" ht="15" thickBot="1">
      <c r="A5" s="1403" t="s">
        <v>1542</v>
      </c>
      <c r="B5" s="1402">
        <v>10</v>
      </c>
      <c r="C5" s="1402">
        <v>14</v>
      </c>
      <c r="D5" s="1402">
        <v>20</v>
      </c>
      <c r="E5" s="1402">
        <v>25.5</v>
      </c>
      <c r="F5" s="1402">
        <v>23.5</v>
      </c>
      <c r="G5" s="1402">
        <v>80.8</v>
      </c>
      <c r="H5" s="1402">
        <v>70.5</v>
      </c>
      <c r="I5" s="1402">
        <v>34.9</v>
      </c>
      <c r="J5" s="1402">
        <v>16.3</v>
      </c>
      <c r="K5" s="621">
        <v>13.7</v>
      </c>
      <c r="L5" s="621">
        <v>14</v>
      </c>
      <c r="M5" s="621">
        <v>12</v>
      </c>
      <c r="N5" s="1321">
        <f>AVERAGE(B5:M5)</f>
        <v>27.933333333333334</v>
      </c>
      <c r="O5" s="1062"/>
      <c r="P5" s="6"/>
      <c r="Q5" s="716"/>
      <c r="T5" s="718"/>
      <c r="U5" s="119">
        <v>1.02</v>
      </c>
      <c r="V5" s="719">
        <v>1.35</v>
      </c>
      <c r="W5" s="719">
        <f>U5*4</f>
        <v>4.08</v>
      </c>
      <c r="X5" s="720">
        <f t="shared" si="0"/>
        <v>5.5080000000000009</v>
      </c>
      <c r="Z5" s="719"/>
      <c r="AA5" s="720"/>
      <c r="AG5" s="1238">
        <v>43468</v>
      </c>
      <c r="AH5" s="775">
        <v>1364</v>
      </c>
      <c r="AI5" s="714">
        <v>92.9</v>
      </c>
      <c r="AT5" s="2206">
        <v>43499</v>
      </c>
      <c r="AU5" s="2199">
        <v>45.4</v>
      </c>
      <c r="AV5" s="2203">
        <v>10.5</v>
      </c>
    </row>
    <row r="6" spans="1:49" s="723" customFormat="1" ht="15" thickBot="1">
      <c r="A6" s="721" t="s">
        <v>17</v>
      </c>
      <c r="B6" s="621">
        <v>1.1000000000000001</v>
      </c>
      <c r="C6" s="621">
        <v>2.4</v>
      </c>
      <c r="D6" s="621">
        <v>3.5</v>
      </c>
      <c r="E6" s="621">
        <v>8.6</v>
      </c>
      <c r="F6" s="621">
        <v>2</v>
      </c>
      <c r="G6" s="621">
        <v>11.7</v>
      </c>
      <c r="H6" s="621">
        <v>0.96</v>
      </c>
      <c r="I6" s="621">
        <v>1.1000000000000001</v>
      </c>
      <c r="J6" s="621">
        <v>0.33</v>
      </c>
      <c r="K6" s="621">
        <v>0.53</v>
      </c>
      <c r="L6" s="621">
        <v>2</v>
      </c>
      <c r="M6" s="621">
        <v>1</v>
      </c>
      <c r="N6" s="1321">
        <f t="shared" ref="N6:N9" si="1">AVERAGE(B6:M6)</f>
        <v>2.9350000000000001</v>
      </c>
      <c r="O6" s="1063">
        <v>10.420714285714286</v>
      </c>
      <c r="P6" s="6" t="s">
        <v>1239</v>
      </c>
      <c r="Q6" s="722"/>
      <c r="T6" s="724">
        <v>4</v>
      </c>
      <c r="U6" s="725"/>
      <c r="V6" s="725">
        <v>0.75</v>
      </c>
      <c r="W6" s="719">
        <f t="shared" ref="W6:W7" si="2">U6*3</f>
        <v>0</v>
      </c>
      <c r="X6" s="720">
        <f t="shared" si="0"/>
        <v>0</v>
      </c>
      <c r="Z6" s="725">
        <v>2</v>
      </c>
      <c r="AA6" s="723">
        <v>0.69</v>
      </c>
      <c r="AG6" s="1238">
        <v>43469</v>
      </c>
      <c r="AH6" s="775">
        <v>1368</v>
      </c>
      <c r="AI6" s="714">
        <v>93</v>
      </c>
      <c r="AT6" s="2206">
        <v>43500</v>
      </c>
      <c r="AU6" s="2199">
        <v>41.5</v>
      </c>
      <c r="AV6" s="2203">
        <v>11.6</v>
      </c>
    </row>
    <row r="7" spans="1:49" s="723" customFormat="1" ht="15" thickBot="1">
      <c r="A7" s="721" t="s">
        <v>18</v>
      </c>
      <c r="B7" s="621">
        <v>12</v>
      </c>
      <c r="C7" s="621">
        <v>9</v>
      </c>
      <c r="D7" s="621">
        <v>8</v>
      </c>
      <c r="E7" s="1240">
        <v>12.4</v>
      </c>
      <c r="F7" s="1240">
        <v>23.4</v>
      </c>
      <c r="G7" s="1240">
        <v>89.3</v>
      </c>
      <c r="H7" s="1240">
        <v>53.2</v>
      </c>
      <c r="I7" s="1240">
        <v>18.3</v>
      </c>
      <c r="J7" s="1240">
        <v>9.6999999999999993</v>
      </c>
      <c r="K7" s="621">
        <v>13</v>
      </c>
      <c r="L7" s="621">
        <v>10</v>
      </c>
      <c r="M7" s="621">
        <v>12</v>
      </c>
      <c r="N7" s="1321">
        <f t="shared" si="1"/>
        <v>22.525000000000002</v>
      </c>
      <c r="O7" s="1063">
        <v>3.7441612903225803</v>
      </c>
      <c r="P7" s="6" t="s">
        <v>1240</v>
      </c>
      <c r="R7" s="722"/>
      <c r="T7" s="718">
        <v>6</v>
      </c>
      <c r="U7" s="725"/>
      <c r="V7" s="725">
        <v>0.59</v>
      </c>
      <c r="W7" s="719">
        <f t="shared" si="2"/>
        <v>0</v>
      </c>
      <c r="X7" s="720">
        <f t="shared" si="0"/>
        <v>0</v>
      </c>
      <c r="Z7" s="725">
        <v>3</v>
      </c>
      <c r="AA7" s="723">
        <v>0.69</v>
      </c>
      <c r="AG7" s="1238">
        <v>43470</v>
      </c>
      <c r="AH7" s="775">
        <v>1372</v>
      </c>
      <c r="AI7" s="714">
        <v>93.2</v>
      </c>
      <c r="AT7" s="2206">
        <v>43501</v>
      </c>
      <c r="AU7" s="2199">
        <v>32.4</v>
      </c>
      <c r="AV7" s="2203">
        <v>10.4</v>
      </c>
    </row>
    <row r="8" spans="1:49" s="723" customFormat="1" ht="15" thickBot="1">
      <c r="A8" s="721" t="s">
        <v>20</v>
      </c>
      <c r="B8" s="621">
        <v>3.6</v>
      </c>
      <c r="C8" s="621">
        <v>5.4</v>
      </c>
      <c r="D8" s="621">
        <v>11.4</v>
      </c>
      <c r="E8" s="621">
        <v>17.399999999999999</v>
      </c>
      <c r="F8" s="621">
        <v>27</v>
      </c>
      <c r="G8" s="621">
        <v>97.5</v>
      </c>
      <c r="H8" s="621">
        <v>52.8</v>
      </c>
      <c r="I8" s="621">
        <v>22.2</v>
      </c>
      <c r="J8" s="621">
        <v>3</v>
      </c>
      <c r="K8" s="621">
        <v>4.8</v>
      </c>
      <c r="L8" s="621">
        <v>3.6</v>
      </c>
      <c r="M8" s="621">
        <v>5.4</v>
      </c>
      <c r="N8" s="1321">
        <f t="shared" si="1"/>
        <v>21.175000000000001</v>
      </c>
      <c r="O8" s="1063">
        <v>3.8880000000000003</v>
      </c>
      <c r="P8" s="6" t="s">
        <v>1241</v>
      </c>
      <c r="Q8" s="727"/>
      <c r="T8" s="724">
        <v>8</v>
      </c>
      <c r="U8" s="725"/>
      <c r="V8" s="725">
        <v>0.78</v>
      </c>
      <c r="W8" s="719">
        <f t="shared" ref="W8" si="3">U8*2.5</f>
        <v>0</v>
      </c>
      <c r="X8" s="720">
        <f t="shared" si="0"/>
        <v>0</v>
      </c>
      <c r="Z8" s="725">
        <v>1</v>
      </c>
      <c r="AA8" s="723">
        <v>0.72</v>
      </c>
      <c r="AG8" s="1238">
        <v>43471</v>
      </c>
      <c r="AH8" s="775">
        <v>1378</v>
      </c>
      <c r="AI8" s="714">
        <v>93.4</v>
      </c>
      <c r="AT8" s="2206">
        <v>43502</v>
      </c>
      <c r="AU8" s="2199">
        <v>18.100000000000001</v>
      </c>
      <c r="AV8" s="2203">
        <v>13.5</v>
      </c>
    </row>
    <row r="9" spans="1:49" s="723" customFormat="1" ht="15" thickBot="1">
      <c r="A9" s="721" t="s">
        <v>858</v>
      </c>
      <c r="B9" s="621">
        <v>9.6999999999999993</v>
      </c>
      <c r="C9" s="621">
        <v>12.4</v>
      </c>
      <c r="D9" s="621">
        <v>19.8</v>
      </c>
      <c r="E9" s="621">
        <v>23.7</v>
      </c>
      <c r="F9" s="621">
        <v>28.8</v>
      </c>
      <c r="G9" s="621">
        <v>105</v>
      </c>
      <c r="H9" s="621">
        <v>56.6</v>
      </c>
      <c r="I9" s="621">
        <v>28.8</v>
      </c>
      <c r="J9" s="621">
        <v>9.1999999999999993</v>
      </c>
      <c r="K9" s="621">
        <v>14.2</v>
      </c>
      <c r="L9" s="621">
        <v>9.6999999999999993</v>
      </c>
      <c r="M9" s="621">
        <v>8.8000000000000007</v>
      </c>
      <c r="N9" s="1321">
        <f t="shared" si="1"/>
        <v>27.224999999999998</v>
      </c>
      <c r="O9" s="1063">
        <v>38.177419354838719</v>
      </c>
      <c r="P9" s="6" t="s">
        <v>1242</v>
      </c>
      <c r="Q9" s="727"/>
      <c r="T9" s="718">
        <v>10</v>
      </c>
      <c r="U9" s="725"/>
      <c r="V9" s="723">
        <v>2.8</v>
      </c>
      <c r="W9" s="719">
        <f>U9*4</f>
        <v>0</v>
      </c>
      <c r="X9" s="720">
        <f t="shared" si="0"/>
        <v>0</v>
      </c>
      <c r="Z9" s="725"/>
      <c r="AG9" s="1238">
        <v>43472</v>
      </c>
      <c r="AH9" s="775">
        <v>1382</v>
      </c>
      <c r="AI9" s="714">
        <v>93.5</v>
      </c>
      <c r="AT9" s="2206">
        <v>43503</v>
      </c>
      <c r="AU9" s="2199">
        <v>7.34</v>
      </c>
      <c r="AV9" s="2203">
        <v>26.7</v>
      </c>
    </row>
    <row r="10" spans="1:49" ht="15" thickBot="1">
      <c r="A10" s="728" t="s">
        <v>155</v>
      </c>
      <c r="B10" s="729" t="s">
        <v>64</v>
      </c>
      <c r="C10" s="729" t="s">
        <v>65</v>
      </c>
      <c r="D10" s="729" t="s">
        <v>66</v>
      </c>
      <c r="E10" s="729" t="s">
        <v>67</v>
      </c>
      <c r="F10" s="729" t="s">
        <v>68</v>
      </c>
      <c r="G10" s="729" t="s">
        <v>69</v>
      </c>
      <c r="H10" s="729" t="s">
        <v>70</v>
      </c>
      <c r="I10" s="729" t="s">
        <v>71</v>
      </c>
      <c r="J10" s="729" t="s">
        <v>72</v>
      </c>
      <c r="K10" s="729" t="s">
        <v>73</v>
      </c>
      <c r="L10" s="729" t="s">
        <v>74</v>
      </c>
      <c r="M10" s="729" t="s">
        <v>75</v>
      </c>
      <c r="N10" s="1322">
        <f>SUM(N6:N7)</f>
        <v>25.46</v>
      </c>
      <c r="O10" s="1063">
        <v>10.359333333333332</v>
      </c>
      <c r="P10" s="6" t="s">
        <v>1045</v>
      </c>
      <c r="T10" s="718">
        <v>10</v>
      </c>
      <c r="U10" s="725"/>
      <c r="V10" s="725">
        <v>2.68</v>
      </c>
      <c r="W10" s="719">
        <f>U10*3</f>
        <v>0</v>
      </c>
      <c r="X10" s="719">
        <f>V8*W10</f>
        <v>0</v>
      </c>
      <c r="AG10" s="1238">
        <v>43473</v>
      </c>
      <c r="AH10" s="775">
        <v>1384</v>
      </c>
      <c r="AI10" s="714">
        <v>93.6</v>
      </c>
      <c r="AT10" s="2206">
        <v>43504</v>
      </c>
      <c r="AU10" s="2199">
        <v>20.399999999999999</v>
      </c>
      <c r="AV10" s="2203">
        <v>25.4</v>
      </c>
    </row>
    <row r="11" spans="1:49" ht="15" thickBot="1">
      <c r="A11" s="715" t="s">
        <v>884</v>
      </c>
      <c r="B11" s="1399">
        <f t="shared" ref="B11:M11" si="4">B4</f>
        <v>14</v>
      </c>
      <c r="C11" s="1399">
        <f t="shared" si="4"/>
        <v>12</v>
      </c>
      <c r="D11" s="1399">
        <f t="shared" si="4"/>
        <v>16</v>
      </c>
      <c r="E11" s="1399">
        <f t="shared" si="4"/>
        <v>18.600000000000001</v>
      </c>
      <c r="F11" s="1399">
        <f t="shared" si="4"/>
        <v>25.5</v>
      </c>
      <c r="G11" s="1399">
        <f t="shared" si="4"/>
        <v>84.2</v>
      </c>
      <c r="H11" s="1399">
        <f t="shared" si="4"/>
        <v>72.5</v>
      </c>
      <c r="I11" s="1399">
        <f t="shared" si="4"/>
        <v>36.799999999999997</v>
      </c>
      <c r="J11" s="1399">
        <f t="shared" si="4"/>
        <v>15.6</v>
      </c>
      <c r="K11" s="1399">
        <f t="shared" si="4"/>
        <v>14.9</v>
      </c>
      <c r="L11" s="1399">
        <f t="shared" si="4"/>
        <v>14.9</v>
      </c>
      <c r="M11" s="1399">
        <f t="shared" si="4"/>
        <v>21.9</v>
      </c>
      <c r="N11" s="1322"/>
      <c r="O11" s="1063"/>
      <c r="P11" s="6"/>
      <c r="T11" s="718"/>
      <c r="U11" s="725"/>
      <c r="V11" s="725"/>
      <c r="W11" s="719"/>
      <c r="X11" s="719"/>
      <c r="AG11" s="1238">
        <v>43474</v>
      </c>
      <c r="AH11" s="775">
        <v>1385</v>
      </c>
      <c r="AI11" s="714">
        <v>93.6</v>
      </c>
      <c r="AT11" s="2206">
        <v>43505</v>
      </c>
      <c r="AU11" s="2199">
        <v>33.799999999999997</v>
      </c>
      <c r="AV11" s="2203">
        <v>20.5</v>
      </c>
    </row>
    <row r="12" spans="1:49" ht="15" thickBot="1">
      <c r="A12" s="272" t="s">
        <v>1542</v>
      </c>
      <c r="B12" s="1399">
        <f t="shared" ref="B12:M12" si="5">B5</f>
        <v>10</v>
      </c>
      <c r="C12" s="1399">
        <f t="shared" si="5"/>
        <v>14</v>
      </c>
      <c r="D12" s="1399">
        <f t="shared" si="5"/>
        <v>20</v>
      </c>
      <c r="E12" s="1399">
        <f t="shared" si="5"/>
        <v>25.5</v>
      </c>
      <c r="F12" s="1399">
        <f t="shared" si="5"/>
        <v>23.5</v>
      </c>
      <c r="G12" s="1399">
        <f t="shared" si="5"/>
        <v>80.8</v>
      </c>
      <c r="H12" s="1399">
        <f t="shared" si="5"/>
        <v>70.5</v>
      </c>
      <c r="I12" s="1399">
        <f t="shared" si="5"/>
        <v>34.9</v>
      </c>
      <c r="J12" s="1399">
        <f t="shared" si="5"/>
        <v>16.3</v>
      </c>
      <c r="K12" s="1399">
        <f t="shared" si="5"/>
        <v>13.7</v>
      </c>
      <c r="L12" s="1399">
        <f t="shared" si="5"/>
        <v>14</v>
      </c>
      <c r="M12" s="1399">
        <f t="shared" si="5"/>
        <v>12</v>
      </c>
      <c r="N12" s="1322"/>
      <c r="O12" s="1063"/>
      <c r="P12" s="6"/>
      <c r="T12" s="718"/>
      <c r="U12" s="725"/>
      <c r="V12" s="725"/>
      <c r="W12" s="719"/>
      <c r="X12" s="719"/>
      <c r="AG12" s="1238">
        <v>43475</v>
      </c>
      <c r="AH12" s="775">
        <v>1389</v>
      </c>
      <c r="AI12" s="714">
        <v>93.7</v>
      </c>
      <c r="AT12" s="2206">
        <v>43506</v>
      </c>
      <c r="AU12" s="2199">
        <v>23.7</v>
      </c>
      <c r="AV12" s="2203">
        <v>16.399999999999999</v>
      </c>
    </row>
    <row r="13" spans="1:49" ht="15" thickBot="1">
      <c r="A13" s="730" t="s">
        <v>17</v>
      </c>
      <c r="B13" s="1399">
        <f t="shared" ref="B13:M13" si="6">B6</f>
        <v>1.1000000000000001</v>
      </c>
      <c r="C13" s="1399">
        <f t="shared" si="6"/>
        <v>2.4</v>
      </c>
      <c r="D13" s="1399">
        <f t="shared" si="6"/>
        <v>3.5</v>
      </c>
      <c r="E13" s="1399">
        <f t="shared" si="6"/>
        <v>8.6</v>
      </c>
      <c r="F13" s="1399">
        <f t="shared" si="6"/>
        <v>2</v>
      </c>
      <c r="G13" s="1399">
        <f t="shared" si="6"/>
        <v>11.7</v>
      </c>
      <c r="H13" s="1399">
        <f t="shared" si="6"/>
        <v>0.96</v>
      </c>
      <c r="I13" s="1399">
        <f t="shared" si="6"/>
        <v>1.1000000000000001</v>
      </c>
      <c r="J13" s="1399">
        <f t="shared" si="6"/>
        <v>0.33</v>
      </c>
      <c r="K13" s="1399">
        <f t="shared" si="6"/>
        <v>0.53</v>
      </c>
      <c r="L13" s="1399">
        <f t="shared" si="6"/>
        <v>2</v>
      </c>
      <c r="M13" s="1399">
        <f t="shared" si="6"/>
        <v>1</v>
      </c>
      <c r="O13" s="1063">
        <v>7.340645161290321</v>
      </c>
      <c r="P13" s="6" t="s">
        <v>1046</v>
      </c>
      <c r="T13" s="724">
        <v>12</v>
      </c>
      <c r="U13" s="725"/>
      <c r="V13" s="725"/>
      <c r="W13" s="719">
        <f>U13*2</f>
        <v>0</v>
      </c>
      <c r="X13" s="719">
        <f>V13*W13</f>
        <v>0</v>
      </c>
      <c r="AG13" s="1238">
        <v>43476</v>
      </c>
      <c r="AH13" s="775">
        <v>1396</v>
      </c>
      <c r="AI13" s="714">
        <v>94</v>
      </c>
      <c r="AT13" s="2206">
        <v>43507</v>
      </c>
      <c r="AU13" s="2199">
        <v>30.1</v>
      </c>
      <c r="AV13" s="2203">
        <v>12.3</v>
      </c>
    </row>
    <row r="14" spans="1:49" ht="15" thickBot="1">
      <c r="A14" s="730" t="s">
        <v>18</v>
      </c>
      <c r="B14" s="1399">
        <f t="shared" ref="B14:M14" si="7">B7</f>
        <v>12</v>
      </c>
      <c r="C14" s="1399">
        <f t="shared" si="7"/>
        <v>9</v>
      </c>
      <c r="D14" s="1399">
        <f t="shared" si="7"/>
        <v>8</v>
      </c>
      <c r="E14" s="1399">
        <f t="shared" si="7"/>
        <v>12.4</v>
      </c>
      <c r="F14" s="1399">
        <f t="shared" si="7"/>
        <v>23.4</v>
      </c>
      <c r="G14" s="1399">
        <f t="shared" si="7"/>
        <v>89.3</v>
      </c>
      <c r="H14" s="1399">
        <f t="shared" si="7"/>
        <v>53.2</v>
      </c>
      <c r="I14" s="1399">
        <f t="shared" si="7"/>
        <v>18.3</v>
      </c>
      <c r="J14" s="1399">
        <f t="shared" si="7"/>
        <v>9.6999999999999993</v>
      </c>
      <c r="K14" s="1399">
        <f t="shared" si="7"/>
        <v>13</v>
      </c>
      <c r="L14" s="1399">
        <f t="shared" si="7"/>
        <v>10</v>
      </c>
      <c r="M14" s="1399">
        <f t="shared" si="7"/>
        <v>12</v>
      </c>
      <c r="N14" s="710">
        <f>AVERAGE(B14:I14)</f>
        <v>28.200000000000003</v>
      </c>
      <c r="O14" s="1063">
        <v>3.6067741935483872</v>
      </c>
      <c r="P14" s="6" t="s">
        <v>1047</v>
      </c>
      <c r="T14" s="718">
        <v>14</v>
      </c>
      <c r="U14" s="725"/>
      <c r="V14" s="725"/>
      <c r="W14" s="719">
        <f>U14*3</f>
        <v>0</v>
      </c>
      <c r="X14" s="719">
        <f>V14*W14</f>
        <v>0</v>
      </c>
      <c r="AG14" s="1238">
        <v>43477</v>
      </c>
      <c r="AH14" s="775">
        <v>1411</v>
      </c>
      <c r="AI14" s="714">
        <v>94.5</v>
      </c>
      <c r="AT14" s="2206">
        <v>43508</v>
      </c>
      <c r="AU14" s="2199">
        <v>35.6</v>
      </c>
      <c r="AV14" s="2203">
        <v>9.6199999999999992</v>
      </c>
    </row>
    <row r="15" spans="1:49" ht="15" thickBot="1">
      <c r="A15" s="730" t="s">
        <v>20</v>
      </c>
      <c r="B15" s="1399">
        <f t="shared" ref="B15:M15" si="8">B8</f>
        <v>3.6</v>
      </c>
      <c r="C15" s="1399">
        <f t="shared" si="8"/>
        <v>5.4</v>
      </c>
      <c r="D15" s="1399">
        <f t="shared" si="8"/>
        <v>11.4</v>
      </c>
      <c r="E15" s="1399">
        <f t="shared" si="8"/>
        <v>17.399999999999999</v>
      </c>
      <c r="F15" s="1399">
        <f t="shared" si="8"/>
        <v>27</v>
      </c>
      <c r="G15" s="1399">
        <f t="shared" si="8"/>
        <v>97.5</v>
      </c>
      <c r="H15" s="1399">
        <f t="shared" si="8"/>
        <v>52.8</v>
      </c>
      <c r="I15" s="1399">
        <f t="shared" si="8"/>
        <v>22.2</v>
      </c>
      <c r="J15" s="1399">
        <f t="shared" si="8"/>
        <v>3</v>
      </c>
      <c r="K15" s="1399">
        <f t="shared" si="8"/>
        <v>4.8</v>
      </c>
      <c r="L15" s="1399">
        <f t="shared" si="8"/>
        <v>3.6</v>
      </c>
      <c r="M15" s="1399">
        <f t="shared" si="8"/>
        <v>5.4</v>
      </c>
      <c r="O15" s="1063">
        <v>4.3676666666666666</v>
      </c>
      <c r="P15" s="6" t="s">
        <v>1243</v>
      </c>
      <c r="T15" s="724">
        <v>16</v>
      </c>
      <c r="U15" s="725"/>
      <c r="V15" s="725"/>
      <c r="W15" s="719">
        <f>U15*2</f>
        <v>0</v>
      </c>
      <c r="X15" s="719"/>
      <c r="AG15" s="1238">
        <v>43478</v>
      </c>
      <c r="AH15" s="775">
        <v>1419</v>
      </c>
      <c r="AI15" s="714">
        <v>94.8</v>
      </c>
      <c r="AT15" s="2206">
        <v>43509</v>
      </c>
      <c r="AU15" s="2199">
        <v>43.6</v>
      </c>
      <c r="AV15" s="2203">
        <v>8.64</v>
      </c>
    </row>
    <row r="16" spans="1:49" ht="15" thickBot="1">
      <c r="A16" s="730" t="s">
        <v>858</v>
      </c>
      <c r="B16" s="1399">
        <f t="shared" ref="B16:M16" si="9">B9</f>
        <v>9.6999999999999993</v>
      </c>
      <c r="C16" s="1399">
        <f t="shared" si="9"/>
        <v>12.4</v>
      </c>
      <c r="D16" s="1399">
        <f t="shared" si="9"/>
        <v>19.8</v>
      </c>
      <c r="E16" s="1399">
        <f t="shared" si="9"/>
        <v>23.7</v>
      </c>
      <c r="F16" s="1399">
        <f t="shared" si="9"/>
        <v>28.8</v>
      </c>
      <c r="G16" s="1399">
        <f t="shared" si="9"/>
        <v>105</v>
      </c>
      <c r="H16" s="1399">
        <f t="shared" si="9"/>
        <v>56.6</v>
      </c>
      <c r="I16" s="1399">
        <f t="shared" si="9"/>
        <v>28.8</v>
      </c>
      <c r="J16" s="1399">
        <f t="shared" si="9"/>
        <v>9.1999999999999993</v>
      </c>
      <c r="K16" s="1399">
        <f t="shared" si="9"/>
        <v>14.2</v>
      </c>
      <c r="L16" s="1399">
        <f t="shared" si="9"/>
        <v>9.6999999999999993</v>
      </c>
      <c r="M16" s="1399">
        <f t="shared" si="9"/>
        <v>8.8000000000000007</v>
      </c>
      <c r="O16" s="1063">
        <v>4.4158064516129025</v>
      </c>
      <c r="P16" s="6" t="s">
        <v>1244</v>
      </c>
      <c r="T16" s="724"/>
      <c r="U16" s="725"/>
      <c r="V16" s="725"/>
      <c r="W16" s="719"/>
      <c r="X16" s="719"/>
      <c r="AG16" s="1238">
        <v>43479</v>
      </c>
      <c r="AH16" s="775">
        <v>1424</v>
      </c>
      <c r="AI16" s="714">
        <v>94.9</v>
      </c>
      <c r="AT16" s="2206">
        <v>43510</v>
      </c>
      <c r="AU16" s="2199">
        <v>43.8</v>
      </c>
      <c r="AV16" s="2203">
        <v>9.5500000000000007</v>
      </c>
    </row>
    <row r="17" spans="1:48" ht="15" thickBot="1">
      <c r="A17" s="728" t="s">
        <v>110</v>
      </c>
      <c r="B17" s="732" t="s">
        <v>64</v>
      </c>
      <c r="C17" s="732" t="s">
        <v>65</v>
      </c>
      <c r="D17" s="732" t="s">
        <v>66</v>
      </c>
      <c r="E17" s="732" t="s">
        <v>67</v>
      </c>
      <c r="F17" s="732" t="s">
        <v>68</v>
      </c>
      <c r="G17" s="732" t="s">
        <v>69</v>
      </c>
      <c r="H17" s="732" t="s">
        <v>70</v>
      </c>
      <c r="I17" s="732" t="s">
        <v>71</v>
      </c>
      <c r="J17" s="732" t="s">
        <v>72</v>
      </c>
      <c r="K17" s="732" t="s">
        <v>73</v>
      </c>
      <c r="L17" s="732" t="s">
        <v>74</v>
      </c>
      <c r="M17" s="732" t="s">
        <v>75</v>
      </c>
      <c r="O17" s="1063">
        <v>3.2079999999999997</v>
      </c>
      <c r="P17" s="6" t="s">
        <v>1245</v>
      </c>
      <c r="T17" s="718">
        <v>18</v>
      </c>
      <c r="U17" s="725"/>
      <c r="V17" s="725"/>
      <c r="W17" s="719">
        <f>U17*2</f>
        <v>0</v>
      </c>
      <c r="X17" s="719">
        <f t="shared" ref="X17:X25" si="10">V17*W17</f>
        <v>0</v>
      </c>
      <c r="AG17" s="1238">
        <v>43480</v>
      </c>
      <c r="AH17" s="775">
        <v>1430</v>
      </c>
      <c r="AI17" s="714">
        <v>95.1</v>
      </c>
      <c r="AT17" s="2206">
        <v>43511</v>
      </c>
      <c r="AU17" s="2199">
        <v>41.6</v>
      </c>
      <c r="AV17" s="2203">
        <v>10.1</v>
      </c>
    </row>
    <row r="18" spans="1:48" ht="15" thickBot="1">
      <c r="A18" s="715" t="s">
        <v>884</v>
      </c>
      <c r="B18" s="733">
        <f>B11*1.983</f>
        <v>27.762</v>
      </c>
      <c r="C18" s="733">
        <f t="shared" ref="C18:M18" si="11">C11*1.983</f>
        <v>23.795999999999999</v>
      </c>
      <c r="D18" s="733">
        <f t="shared" si="11"/>
        <v>31.728000000000002</v>
      </c>
      <c r="E18" s="733">
        <f t="shared" si="11"/>
        <v>36.883800000000008</v>
      </c>
      <c r="F18" s="733">
        <f t="shared" si="11"/>
        <v>50.566500000000005</v>
      </c>
      <c r="G18" s="733">
        <f t="shared" si="11"/>
        <v>166.96860000000001</v>
      </c>
      <c r="H18" s="733">
        <f t="shared" si="11"/>
        <v>143.76750000000001</v>
      </c>
      <c r="I18" s="733">
        <f t="shared" si="11"/>
        <v>72.974400000000003</v>
      </c>
      <c r="J18" s="733">
        <f t="shared" si="11"/>
        <v>30.934799999999999</v>
      </c>
      <c r="K18" s="733">
        <f t="shared" si="11"/>
        <v>29.546700000000001</v>
      </c>
      <c r="L18" s="733">
        <f t="shared" si="11"/>
        <v>29.546700000000001</v>
      </c>
      <c r="M18" s="733">
        <f t="shared" si="11"/>
        <v>43.427700000000002</v>
      </c>
      <c r="O18" s="1063"/>
      <c r="P18" s="6"/>
      <c r="T18" s="718"/>
      <c r="U18" s="725"/>
      <c r="V18" s="725"/>
      <c r="W18" s="719"/>
      <c r="X18" s="719"/>
      <c r="AG18" s="1238">
        <v>43481</v>
      </c>
      <c r="AH18" s="775">
        <v>1442</v>
      </c>
      <c r="AI18" s="714">
        <v>95.4</v>
      </c>
      <c r="AT18" s="2206">
        <v>43512</v>
      </c>
      <c r="AU18" s="2199">
        <v>33.1</v>
      </c>
      <c r="AV18" s="2203">
        <v>13.5</v>
      </c>
    </row>
    <row r="19" spans="1:48" ht="15" thickBot="1">
      <c r="A19" s="272" t="s">
        <v>1542</v>
      </c>
      <c r="B19" s="733">
        <f t="shared" ref="B19:M19" si="12">B12*1.983</f>
        <v>19.830000000000002</v>
      </c>
      <c r="C19" s="733">
        <f t="shared" si="12"/>
        <v>27.762</v>
      </c>
      <c r="D19" s="733">
        <f t="shared" si="12"/>
        <v>39.660000000000004</v>
      </c>
      <c r="E19" s="733">
        <f t="shared" si="12"/>
        <v>50.566500000000005</v>
      </c>
      <c r="F19" s="733">
        <f t="shared" si="12"/>
        <v>46.600500000000004</v>
      </c>
      <c r="G19" s="733">
        <f t="shared" si="12"/>
        <v>160.22640000000001</v>
      </c>
      <c r="H19" s="733">
        <f t="shared" si="12"/>
        <v>139.8015</v>
      </c>
      <c r="I19" s="733">
        <f t="shared" si="12"/>
        <v>69.206699999999998</v>
      </c>
      <c r="J19" s="733">
        <f t="shared" si="12"/>
        <v>32.322900000000004</v>
      </c>
      <c r="K19" s="733">
        <f t="shared" si="12"/>
        <v>27.167100000000001</v>
      </c>
      <c r="L19" s="733">
        <f t="shared" si="12"/>
        <v>27.762</v>
      </c>
      <c r="M19" s="733">
        <f t="shared" si="12"/>
        <v>23.795999999999999</v>
      </c>
      <c r="O19" s="1063"/>
      <c r="P19" s="6"/>
      <c r="T19" s="718"/>
      <c r="U19" s="725"/>
      <c r="V19" s="725"/>
      <c r="W19" s="719"/>
      <c r="X19" s="719"/>
      <c r="AG19" s="1238">
        <v>43482</v>
      </c>
      <c r="AH19" s="775">
        <v>1456</v>
      </c>
      <c r="AI19" s="714">
        <v>95.8</v>
      </c>
      <c r="AT19" s="2206">
        <v>43513</v>
      </c>
      <c r="AU19" s="2199">
        <v>23.7</v>
      </c>
      <c r="AV19" s="2203">
        <v>15.6</v>
      </c>
    </row>
    <row r="20" spans="1:48" ht="15" thickBot="1">
      <c r="A20" s="730" t="s">
        <v>17</v>
      </c>
      <c r="B20" s="733">
        <f t="shared" ref="B20:M20" si="13">B13*1.983</f>
        <v>2.1813000000000002</v>
      </c>
      <c r="C20" s="733">
        <f t="shared" si="13"/>
        <v>4.7591999999999999</v>
      </c>
      <c r="D20" s="733">
        <f t="shared" si="13"/>
        <v>6.9405000000000001</v>
      </c>
      <c r="E20" s="733">
        <f t="shared" si="13"/>
        <v>17.053799999999999</v>
      </c>
      <c r="F20" s="733">
        <f t="shared" si="13"/>
        <v>3.9660000000000002</v>
      </c>
      <c r="G20" s="733">
        <f t="shared" si="13"/>
        <v>23.2011</v>
      </c>
      <c r="H20" s="733">
        <f t="shared" si="13"/>
        <v>1.90368</v>
      </c>
      <c r="I20" s="733">
        <f t="shared" si="13"/>
        <v>2.1813000000000002</v>
      </c>
      <c r="J20" s="733">
        <f t="shared" si="13"/>
        <v>0.65439000000000003</v>
      </c>
      <c r="K20" s="733">
        <f t="shared" si="13"/>
        <v>1.0509900000000001</v>
      </c>
      <c r="L20" s="733">
        <f t="shared" si="13"/>
        <v>3.9660000000000002</v>
      </c>
      <c r="M20" s="733">
        <f t="shared" si="13"/>
        <v>1.9830000000000001</v>
      </c>
      <c r="O20" s="1063">
        <v>3.2977419354838702</v>
      </c>
      <c r="P20" s="6" t="s">
        <v>1246</v>
      </c>
      <c r="T20" s="724">
        <v>20</v>
      </c>
      <c r="U20" s="725"/>
      <c r="V20" s="725"/>
      <c r="W20" s="719">
        <f>U20*3</f>
        <v>0</v>
      </c>
      <c r="X20" s="719">
        <f t="shared" si="10"/>
        <v>0</v>
      </c>
      <c r="AG20" s="1238">
        <v>43483</v>
      </c>
      <c r="AH20" s="775">
        <v>1469</v>
      </c>
      <c r="AI20" s="714">
        <v>96.2</v>
      </c>
      <c r="AT20" s="2206">
        <v>43514</v>
      </c>
      <c r="AU20" s="2199">
        <v>12.7</v>
      </c>
      <c r="AV20" s="2203">
        <v>21.2</v>
      </c>
    </row>
    <row r="21" spans="1:48" ht="15" thickBot="1">
      <c r="A21" s="730" t="s">
        <v>18</v>
      </c>
      <c r="B21" s="733">
        <f t="shared" ref="B21:M21" si="14">B14*1.983</f>
        <v>23.795999999999999</v>
      </c>
      <c r="C21" s="733">
        <f t="shared" si="14"/>
        <v>17.847000000000001</v>
      </c>
      <c r="D21" s="733">
        <f t="shared" si="14"/>
        <v>15.864000000000001</v>
      </c>
      <c r="E21" s="733">
        <f t="shared" si="14"/>
        <v>24.589200000000002</v>
      </c>
      <c r="F21" s="733">
        <f t="shared" si="14"/>
        <v>46.402200000000001</v>
      </c>
      <c r="G21" s="733">
        <f t="shared" si="14"/>
        <v>177.08189999999999</v>
      </c>
      <c r="H21" s="733">
        <f t="shared" si="14"/>
        <v>105.49560000000001</v>
      </c>
      <c r="I21" s="733">
        <f t="shared" si="14"/>
        <v>36.288900000000005</v>
      </c>
      <c r="J21" s="733">
        <f t="shared" si="14"/>
        <v>19.235099999999999</v>
      </c>
      <c r="K21" s="733">
        <f t="shared" si="14"/>
        <v>25.779</v>
      </c>
      <c r="L21" s="733">
        <f t="shared" si="14"/>
        <v>19.830000000000002</v>
      </c>
      <c r="M21" s="733">
        <f t="shared" si="14"/>
        <v>23.795999999999999</v>
      </c>
      <c r="T21" s="718">
        <v>22</v>
      </c>
      <c r="U21" s="725"/>
      <c r="V21" s="725"/>
      <c r="W21" s="719">
        <f>U21*2</f>
        <v>0</v>
      </c>
      <c r="X21" s="719">
        <f t="shared" si="10"/>
        <v>0</v>
      </c>
      <c r="AG21" s="1238">
        <v>43484</v>
      </c>
      <c r="AH21" s="775">
        <v>1478</v>
      </c>
      <c r="AI21" s="714">
        <v>96.4</v>
      </c>
      <c r="AT21" s="2206">
        <v>43515</v>
      </c>
      <c r="AU21" s="2199">
        <v>14.9</v>
      </c>
      <c r="AV21" s="2203">
        <v>11.4</v>
      </c>
    </row>
    <row r="22" spans="1:48" ht="15" thickBot="1">
      <c r="A22" s="730" t="s">
        <v>20</v>
      </c>
      <c r="B22" s="733">
        <f t="shared" ref="B22:M22" si="15">B15*1.983</f>
        <v>7.1388000000000007</v>
      </c>
      <c r="C22" s="733">
        <f t="shared" si="15"/>
        <v>10.708200000000001</v>
      </c>
      <c r="D22" s="733">
        <f t="shared" si="15"/>
        <v>22.606200000000001</v>
      </c>
      <c r="E22" s="733">
        <f t="shared" si="15"/>
        <v>34.504199999999997</v>
      </c>
      <c r="F22" s="733">
        <f t="shared" si="15"/>
        <v>53.541000000000004</v>
      </c>
      <c r="G22" s="733">
        <f t="shared" si="15"/>
        <v>193.3425</v>
      </c>
      <c r="H22" s="733">
        <f t="shared" si="15"/>
        <v>104.7024</v>
      </c>
      <c r="I22" s="733">
        <f t="shared" si="15"/>
        <v>44.022600000000004</v>
      </c>
      <c r="J22" s="733">
        <f t="shared" si="15"/>
        <v>5.9489999999999998</v>
      </c>
      <c r="K22" s="733">
        <f t="shared" si="15"/>
        <v>9.5183999999999997</v>
      </c>
      <c r="L22" s="733">
        <f t="shared" si="15"/>
        <v>7.1388000000000007</v>
      </c>
      <c r="M22" s="733">
        <f t="shared" si="15"/>
        <v>10.708200000000001</v>
      </c>
      <c r="T22" s="724">
        <v>24</v>
      </c>
      <c r="U22" s="725"/>
      <c r="V22" s="725"/>
      <c r="W22" s="719">
        <f>U22*2</f>
        <v>0</v>
      </c>
      <c r="X22" s="719">
        <f t="shared" si="10"/>
        <v>0</v>
      </c>
      <c r="AG22" s="1238">
        <v>43485</v>
      </c>
      <c r="AH22" s="775">
        <v>1490</v>
      </c>
      <c r="AI22" s="714">
        <v>96.7</v>
      </c>
      <c r="AT22" s="2206">
        <v>43516</v>
      </c>
      <c r="AU22" s="2199">
        <v>19.7</v>
      </c>
      <c r="AV22" s="2203">
        <v>15.8</v>
      </c>
    </row>
    <row r="23" spans="1:48" ht="15" thickBot="1">
      <c r="A23" s="734" t="s">
        <v>858</v>
      </c>
      <c r="B23" s="733">
        <f t="shared" ref="B23:M23" si="16">B16*1.983</f>
        <v>19.235099999999999</v>
      </c>
      <c r="C23" s="733">
        <f t="shared" si="16"/>
        <v>24.589200000000002</v>
      </c>
      <c r="D23" s="733">
        <f t="shared" si="16"/>
        <v>39.263400000000004</v>
      </c>
      <c r="E23" s="733">
        <f t="shared" si="16"/>
        <v>46.997100000000003</v>
      </c>
      <c r="F23" s="733">
        <f t="shared" si="16"/>
        <v>57.110400000000006</v>
      </c>
      <c r="G23" s="733">
        <f t="shared" si="16"/>
        <v>208.215</v>
      </c>
      <c r="H23" s="733">
        <f t="shared" si="16"/>
        <v>112.23780000000001</v>
      </c>
      <c r="I23" s="733">
        <f t="shared" si="16"/>
        <v>57.110400000000006</v>
      </c>
      <c r="J23" s="733">
        <f t="shared" si="16"/>
        <v>18.243600000000001</v>
      </c>
      <c r="K23" s="733">
        <f t="shared" si="16"/>
        <v>28.1586</v>
      </c>
      <c r="L23" s="733">
        <f t="shared" si="16"/>
        <v>19.235099999999999</v>
      </c>
      <c r="M23" s="733">
        <f t="shared" si="16"/>
        <v>17.450400000000002</v>
      </c>
      <c r="T23" s="718">
        <v>26</v>
      </c>
      <c r="U23" s="725"/>
      <c r="W23" s="719">
        <f>U23*2</f>
        <v>0</v>
      </c>
      <c r="X23" s="719">
        <f t="shared" si="10"/>
        <v>0</v>
      </c>
      <c r="AG23" s="1238">
        <v>43486</v>
      </c>
      <c r="AH23" s="775">
        <v>1501</v>
      </c>
      <c r="AI23" s="714">
        <v>97</v>
      </c>
      <c r="AT23" s="2206">
        <v>43517</v>
      </c>
      <c r="AU23" s="2199">
        <v>21.3</v>
      </c>
      <c r="AV23" s="2203">
        <v>13.7</v>
      </c>
    </row>
    <row r="24" spans="1:48" ht="15" thickBot="1">
      <c r="A24" s="715" t="s">
        <v>884</v>
      </c>
      <c r="B24" s="733">
        <f>B4*1.983</f>
        <v>27.762</v>
      </c>
      <c r="C24" s="733">
        <f t="shared" ref="C24:M24" si="17">C4*1.983</f>
        <v>23.795999999999999</v>
      </c>
      <c r="D24" s="733">
        <f t="shared" si="17"/>
        <v>31.728000000000002</v>
      </c>
      <c r="E24" s="733">
        <f t="shared" si="17"/>
        <v>36.883800000000008</v>
      </c>
      <c r="F24" s="733">
        <f t="shared" si="17"/>
        <v>50.566500000000005</v>
      </c>
      <c r="G24" s="733">
        <f t="shared" si="17"/>
        <v>166.96860000000001</v>
      </c>
      <c r="H24" s="733">
        <f t="shared" si="17"/>
        <v>143.76750000000001</v>
      </c>
      <c r="I24" s="733">
        <f t="shared" si="17"/>
        <v>72.974400000000003</v>
      </c>
      <c r="J24" s="733">
        <f t="shared" si="17"/>
        <v>30.934799999999999</v>
      </c>
      <c r="K24" s="733">
        <f t="shared" si="17"/>
        <v>29.546700000000001</v>
      </c>
      <c r="L24" s="733">
        <f t="shared" si="17"/>
        <v>29.546700000000001</v>
      </c>
      <c r="M24" s="733">
        <f t="shared" si="17"/>
        <v>43.427700000000002</v>
      </c>
      <c r="N24" s="1336">
        <f>AVERAGE(B24:M24)</f>
        <v>57.32522500000001</v>
      </c>
      <c r="T24" s="724">
        <v>28</v>
      </c>
      <c r="U24" s="725"/>
      <c r="W24" s="719">
        <f>U24*2</f>
        <v>0</v>
      </c>
      <c r="X24" s="719">
        <f t="shared" si="10"/>
        <v>0</v>
      </c>
      <c r="AG24" s="1238">
        <v>43487</v>
      </c>
      <c r="AH24" s="775">
        <v>1513</v>
      </c>
      <c r="AI24" s="714">
        <v>97.3</v>
      </c>
      <c r="AT24" s="2206">
        <v>43518</v>
      </c>
      <c r="AU24" s="2199">
        <v>23.3</v>
      </c>
      <c r="AV24" s="2203">
        <v>12.5</v>
      </c>
    </row>
    <row r="25" spans="1:48" ht="14.25" customHeight="1" thickBot="1">
      <c r="A25" s="735" t="s">
        <v>79</v>
      </c>
      <c r="B25" s="736">
        <v>31</v>
      </c>
      <c r="C25" s="737">
        <v>29</v>
      </c>
      <c r="D25" s="737">
        <v>31</v>
      </c>
      <c r="E25" s="737">
        <v>30</v>
      </c>
      <c r="F25" s="737">
        <v>31</v>
      </c>
      <c r="G25" s="737">
        <v>30</v>
      </c>
      <c r="H25" s="737">
        <v>31</v>
      </c>
      <c r="I25" s="737">
        <v>31</v>
      </c>
      <c r="J25" s="737">
        <v>30</v>
      </c>
      <c r="K25" s="737">
        <v>31</v>
      </c>
      <c r="L25" s="737">
        <v>30</v>
      </c>
      <c r="M25" s="737">
        <v>31</v>
      </c>
      <c r="N25" s="2267" t="s">
        <v>126</v>
      </c>
      <c r="O25" s="738"/>
      <c r="P25" s="738"/>
      <c r="T25" s="718">
        <v>30</v>
      </c>
      <c r="W25" s="719">
        <f>U25*2</f>
        <v>0</v>
      </c>
      <c r="X25" s="719">
        <f t="shared" si="10"/>
        <v>0</v>
      </c>
      <c r="AG25" s="1238">
        <v>43488</v>
      </c>
      <c r="AH25" s="775">
        <v>1516</v>
      </c>
      <c r="AI25" s="714">
        <v>97.4</v>
      </c>
      <c r="AT25" s="2206">
        <v>43519</v>
      </c>
      <c r="AU25" s="2199">
        <v>28.1</v>
      </c>
      <c r="AV25" s="2203">
        <v>12.3</v>
      </c>
    </row>
    <row r="26" spans="1:48" ht="18.649999999999999" customHeight="1" thickBot="1">
      <c r="A26" s="735"/>
      <c r="B26" s="736" t="s">
        <v>64</v>
      </c>
      <c r="C26" s="737" t="s">
        <v>65</v>
      </c>
      <c r="D26" s="737" t="s">
        <v>66</v>
      </c>
      <c r="E26" s="737" t="s">
        <v>67</v>
      </c>
      <c r="F26" s="737" t="s">
        <v>68</v>
      </c>
      <c r="G26" s="737" t="s">
        <v>69</v>
      </c>
      <c r="H26" s="737" t="s">
        <v>70</v>
      </c>
      <c r="I26" s="737" t="s">
        <v>71</v>
      </c>
      <c r="J26" s="737" t="s">
        <v>72</v>
      </c>
      <c r="K26" s="737" t="s">
        <v>73</v>
      </c>
      <c r="L26" s="737" t="s">
        <v>74</v>
      </c>
      <c r="M26" s="737" t="s">
        <v>75</v>
      </c>
      <c r="N26" s="2268"/>
      <c r="O26" s="739"/>
      <c r="P26" s="740"/>
      <c r="X26" s="725">
        <f>SUM(X4:X25)</f>
        <v>8.6508000000000003</v>
      </c>
      <c r="AG26" s="1238">
        <v>43489</v>
      </c>
      <c r="AH26" s="775">
        <v>1517</v>
      </c>
      <c r="AI26" s="714">
        <v>97.4</v>
      </c>
      <c r="AT26" s="2206">
        <v>43520</v>
      </c>
      <c r="AU26" s="2199">
        <v>28.5</v>
      </c>
      <c r="AV26" s="2203">
        <v>11.1</v>
      </c>
    </row>
    <row r="27" spans="1:48" ht="18.649999999999999" customHeight="1" thickBot="1">
      <c r="A27" s="715" t="s">
        <v>884</v>
      </c>
      <c r="B27" s="741">
        <f>B18*B25</f>
        <v>860.62200000000007</v>
      </c>
      <c r="C27" s="741">
        <f t="shared" ref="C27:M27" si="18">C18*C25</f>
        <v>690.08399999999995</v>
      </c>
      <c r="D27" s="741">
        <f t="shared" si="18"/>
        <v>983.5680000000001</v>
      </c>
      <c r="E27" s="741">
        <f t="shared" si="18"/>
        <v>1106.5140000000001</v>
      </c>
      <c r="F27" s="741">
        <f t="shared" si="18"/>
        <v>1567.5615000000003</v>
      </c>
      <c r="G27" s="741">
        <f t="shared" si="18"/>
        <v>5009.058</v>
      </c>
      <c r="H27" s="741">
        <f t="shared" si="18"/>
        <v>4456.7925000000005</v>
      </c>
      <c r="I27" s="741">
        <f t="shared" si="18"/>
        <v>2262.2064</v>
      </c>
      <c r="J27" s="741">
        <f t="shared" si="18"/>
        <v>928.04399999999998</v>
      </c>
      <c r="K27" s="741">
        <f t="shared" si="18"/>
        <v>915.94770000000005</v>
      </c>
      <c r="L27" s="741">
        <f t="shared" si="18"/>
        <v>886.40100000000007</v>
      </c>
      <c r="M27" s="741">
        <f t="shared" si="18"/>
        <v>1346.2587000000001</v>
      </c>
      <c r="N27" s="742">
        <f t="shared" ref="N27:N34" si="19">SUM(B27:M27)</f>
        <v>21013.057800000002</v>
      </c>
      <c r="O27" s="739"/>
      <c r="P27" s="740"/>
      <c r="X27" s="725"/>
      <c r="AG27" s="1238"/>
      <c r="AH27" s="775"/>
      <c r="AI27" s="714"/>
      <c r="AT27" s="2206"/>
      <c r="AU27" s="2199"/>
      <c r="AV27" s="2203"/>
    </row>
    <row r="28" spans="1:48" ht="18.649999999999999" customHeight="1" thickBot="1">
      <c r="A28" s="272" t="s">
        <v>1542</v>
      </c>
      <c r="B28" s="741">
        <f>B19*B25</f>
        <v>614.73</v>
      </c>
      <c r="C28" s="741">
        <f t="shared" ref="C28:M28" si="20">C19*C25</f>
        <v>805.09799999999996</v>
      </c>
      <c r="D28" s="741">
        <f t="shared" si="20"/>
        <v>1229.46</v>
      </c>
      <c r="E28" s="741">
        <f t="shared" si="20"/>
        <v>1516.9950000000001</v>
      </c>
      <c r="F28" s="741">
        <f t="shared" si="20"/>
        <v>1444.6155000000001</v>
      </c>
      <c r="G28" s="741">
        <f t="shared" si="20"/>
        <v>4806.7920000000004</v>
      </c>
      <c r="H28" s="741">
        <f t="shared" si="20"/>
        <v>4333.8465000000006</v>
      </c>
      <c r="I28" s="741">
        <f t="shared" si="20"/>
        <v>2145.4076999999997</v>
      </c>
      <c r="J28" s="741">
        <f t="shared" si="20"/>
        <v>969.68700000000013</v>
      </c>
      <c r="K28" s="741">
        <f t="shared" si="20"/>
        <v>842.18010000000004</v>
      </c>
      <c r="L28" s="741">
        <f t="shared" si="20"/>
        <v>832.86</v>
      </c>
      <c r="M28" s="741">
        <f t="shared" si="20"/>
        <v>737.67599999999993</v>
      </c>
      <c r="N28" s="742">
        <f t="shared" si="19"/>
        <v>20279.347800000003</v>
      </c>
      <c r="O28" s="739">
        <f>N28-N30</f>
        <v>3939.626100000005</v>
      </c>
      <c r="P28" s="2208">
        <f>N30/N28</f>
        <v>0.80573211037881587</v>
      </c>
      <c r="X28" s="725"/>
      <c r="AG28" s="1238"/>
      <c r="AH28" s="775"/>
      <c r="AI28" s="714"/>
      <c r="AT28" s="2206"/>
      <c r="AU28" s="2199"/>
      <c r="AV28" s="2203"/>
    </row>
    <row r="29" spans="1:48" ht="15" thickBot="1">
      <c r="A29" s="730" t="s">
        <v>17</v>
      </c>
      <c r="B29" s="741">
        <f>B20*B25</f>
        <v>67.620300000000015</v>
      </c>
      <c r="C29" s="741">
        <f>C20*C25</f>
        <v>138.01679999999999</v>
      </c>
      <c r="D29" s="741">
        <f>D20*D25</f>
        <v>215.15550000000002</v>
      </c>
      <c r="E29" s="741">
        <f t="shared" ref="E29:M29" si="21">E20*E25</f>
        <v>511.61399999999998</v>
      </c>
      <c r="F29" s="741">
        <f t="shared" si="21"/>
        <v>122.94600000000001</v>
      </c>
      <c r="G29" s="741">
        <f t="shared" si="21"/>
        <v>696.03300000000002</v>
      </c>
      <c r="H29" s="741">
        <f t="shared" si="21"/>
        <v>59.01408</v>
      </c>
      <c r="I29" s="741">
        <f t="shared" si="21"/>
        <v>67.620300000000015</v>
      </c>
      <c r="J29" s="741">
        <f t="shared" si="21"/>
        <v>19.631700000000002</v>
      </c>
      <c r="K29" s="741">
        <f t="shared" si="21"/>
        <v>32.580690000000004</v>
      </c>
      <c r="L29" s="741">
        <f t="shared" si="21"/>
        <v>118.98</v>
      </c>
      <c r="M29" s="741">
        <f t="shared" si="21"/>
        <v>61.473000000000006</v>
      </c>
      <c r="N29" s="742">
        <f t="shared" si="19"/>
        <v>2110.6853699999997</v>
      </c>
      <c r="O29" s="743"/>
      <c r="P29" s="712"/>
      <c r="Q29" s="710">
        <f>SUM(F29:K29)</f>
        <v>997.82577000000015</v>
      </c>
      <c r="AG29" s="1238">
        <v>43490</v>
      </c>
      <c r="AH29" s="775">
        <v>1508</v>
      </c>
      <c r="AI29" s="714">
        <v>97.2</v>
      </c>
      <c r="AT29" s="2206">
        <v>43521</v>
      </c>
      <c r="AU29" s="2199">
        <v>33.9</v>
      </c>
      <c r="AV29" s="2203">
        <v>10.5</v>
      </c>
    </row>
    <row r="30" spans="1:48" ht="15" thickBot="1">
      <c r="A30" s="730" t="s">
        <v>18</v>
      </c>
      <c r="B30" s="741">
        <f>B21*B25</f>
        <v>737.67599999999993</v>
      </c>
      <c r="C30" s="741">
        <f>C21*C25</f>
        <v>517.56299999999999</v>
      </c>
      <c r="D30" s="741">
        <f>D21*D25</f>
        <v>491.78400000000005</v>
      </c>
      <c r="E30" s="741">
        <f t="shared" ref="E30:M30" si="22">E21*E25</f>
        <v>737.67600000000004</v>
      </c>
      <c r="F30" s="741">
        <f t="shared" si="22"/>
        <v>1438.4682</v>
      </c>
      <c r="G30" s="741">
        <f t="shared" si="22"/>
        <v>5312.4569999999994</v>
      </c>
      <c r="H30" s="741">
        <f t="shared" si="22"/>
        <v>3270.3636000000001</v>
      </c>
      <c r="I30" s="741">
        <f t="shared" si="22"/>
        <v>1124.9559000000002</v>
      </c>
      <c r="J30" s="741">
        <f t="shared" si="22"/>
        <v>577.053</v>
      </c>
      <c r="K30" s="741">
        <f t="shared" si="22"/>
        <v>799.149</v>
      </c>
      <c r="L30" s="741">
        <f t="shared" si="22"/>
        <v>594.90000000000009</v>
      </c>
      <c r="M30" s="741">
        <f t="shared" si="22"/>
        <v>737.67599999999993</v>
      </c>
      <c r="N30" s="742">
        <f t="shared" si="19"/>
        <v>16339.721699999998</v>
      </c>
      <c r="O30" s="1404" t="s">
        <v>1543</v>
      </c>
      <c r="P30" s="1317">
        <f>N29/N31</f>
        <v>0.11439776705154286</v>
      </c>
      <c r="Q30" s="710">
        <f>SUM(F30:K30)</f>
        <v>12522.4467</v>
      </c>
      <c r="AG30" s="1238">
        <v>43491</v>
      </c>
      <c r="AH30" s="775">
        <v>1500</v>
      </c>
      <c r="AI30" s="714">
        <v>97</v>
      </c>
      <c r="AT30" s="2206">
        <v>43522</v>
      </c>
      <c r="AU30" s="2199">
        <v>40.5</v>
      </c>
      <c r="AV30" s="2203">
        <v>8.94</v>
      </c>
    </row>
    <row r="31" spans="1:48" ht="15" thickBot="1">
      <c r="A31" s="744" t="s">
        <v>21</v>
      </c>
      <c r="B31" s="745">
        <f>SUM(B29:B30)</f>
        <v>805.29629999999997</v>
      </c>
      <c r="C31" s="745">
        <f>SUM(C29:C30)</f>
        <v>655.57979999999998</v>
      </c>
      <c r="D31" s="745">
        <f>SUM(D29:D30)</f>
        <v>706.93950000000007</v>
      </c>
      <c r="E31" s="745">
        <f t="shared" ref="E31:M31" si="23">SUM(E29:E30)</f>
        <v>1249.29</v>
      </c>
      <c r="F31" s="745">
        <f t="shared" si="23"/>
        <v>1561.4141999999999</v>
      </c>
      <c r="G31" s="745">
        <f t="shared" si="23"/>
        <v>6008.49</v>
      </c>
      <c r="H31" s="745">
        <f t="shared" si="23"/>
        <v>3329.3776800000001</v>
      </c>
      <c r="I31" s="745">
        <f t="shared" si="23"/>
        <v>1192.5762000000002</v>
      </c>
      <c r="J31" s="745">
        <f t="shared" si="23"/>
        <v>596.68470000000002</v>
      </c>
      <c r="K31" s="745">
        <f t="shared" si="23"/>
        <v>831.72969000000001</v>
      </c>
      <c r="L31" s="745">
        <f t="shared" si="23"/>
        <v>713.88000000000011</v>
      </c>
      <c r="M31" s="745">
        <f t="shared" si="23"/>
        <v>799.14899999999989</v>
      </c>
      <c r="N31" s="736">
        <f t="shared" si="19"/>
        <v>18450.407070000001</v>
      </c>
      <c r="O31" s="1318" t="s">
        <v>262</v>
      </c>
      <c r="P31" s="1317">
        <f>(G31+H31)/N31</f>
        <v>0.50610632299724101</v>
      </c>
      <c r="Q31" s="710">
        <f t="shared" ref="Q31:Q33" si="24">SUM(F31:K31)</f>
        <v>13520.27247</v>
      </c>
      <c r="AG31" s="1238">
        <v>43492</v>
      </c>
      <c r="AH31" s="775">
        <v>1496</v>
      </c>
      <c r="AI31" s="714">
        <v>96.9</v>
      </c>
      <c r="AT31" s="2206">
        <v>43523</v>
      </c>
      <c r="AU31" s="2199">
        <v>28</v>
      </c>
      <c r="AV31" s="2203">
        <v>11.6</v>
      </c>
    </row>
    <row r="32" spans="1:48" ht="15" thickBot="1">
      <c r="A32" s="730" t="s">
        <v>20</v>
      </c>
      <c r="B32" s="741">
        <f>B22*B25</f>
        <v>221.30280000000002</v>
      </c>
      <c r="C32" s="741">
        <f>C22*C25</f>
        <v>310.53780000000006</v>
      </c>
      <c r="D32" s="741">
        <f>D22*D25</f>
        <v>700.79220000000009</v>
      </c>
      <c r="E32" s="741">
        <f t="shared" ref="E32:M32" si="25">E22*E25</f>
        <v>1035.126</v>
      </c>
      <c r="F32" s="741">
        <f t="shared" si="25"/>
        <v>1659.7710000000002</v>
      </c>
      <c r="G32" s="741">
        <f t="shared" si="25"/>
        <v>5800.2749999999996</v>
      </c>
      <c r="H32" s="741">
        <f t="shared" si="25"/>
        <v>3245.7743999999998</v>
      </c>
      <c r="I32" s="741">
        <f t="shared" si="25"/>
        <v>1364.7006000000001</v>
      </c>
      <c r="J32" s="741">
        <f t="shared" si="25"/>
        <v>178.47</v>
      </c>
      <c r="K32" s="741">
        <f t="shared" si="25"/>
        <v>295.07040000000001</v>
      </c>
      <c r="L32" s="741">
        <f t="shared" si="25"/>
        <v>214.16400000000002</v>
      </c>
      <c r="M32" s="741">
        <f t="shared" si="25"/>
        <v>331.95420000000007</v>
      </c>
      <c r="N32" s="742">
        <f t="shared" si="19"/>
        <v>15357.938400000001</v>
      </c>
      <c r="O32" s="743"/>
      <c r="Q32" s="710">
        <f>SUM(F32:K32)</f>
        <v>12544.061400000001</v>
      </c>
      <c r="AG32" s="1238">
        <v>43493</v>
      </c>
      <c r="AH32" s="775">
        <v>1491</v>
      </c>
      <c r="AI32" s="714">
        <v>96.8</v>
      </c>
      <c r="AT32" s="2206">
        <v>43524</v>
      </c>
      <c r="AU32" s="2199">
        <v>38.9</v>
      </c>
      <c r="AV32" s="2203">
        <v>11.2</v>
      </c>
    </row>
    <row r="33" spans="1:48" ht="15" thickBot="1">
      <c r="A33" s="734" t="s">
        <v>858</v>
      </c>
      <c r="B33" s="741">
        <f>B23*B25</f>
        <v>596.28809999999999</v>
      </c>
      <c r="C33" s="741">
        <f t="shared" ref="C33:M33" si="26">C23*C25</f>
        <v>713.08680000000004</v>
      </c>
      <c r="D33" s="741">
        <f t="shared" si="26"/>
        <v>1217.1654000000001</v>
      </c>
      <c r="E33" s="741">
        <f t="shared" si="26"/>
        <v>1409.913</v>
      </c>
      <c r="F33" s="741">
        <f t="shared" si="26"/>
        <v>1770.4224000000002</v>
      </c>
      <c r="G33" s="741">
        <f t="shared" si="26"/>
        <v>6246.45</v>
      </c>
      <c r="H33" s="741">
        <f t="shared" si="26"/>
        <v>3479.3718000000003</v>
      </c>
      <c r="I33" s="741">
        <f t="shared" si="26"/>
        <v>1770.4224000000002</v>
      </c>
      <c r="J33" s="741">
        <f t="shared" si="26"/>
        <v>547.30799999999999</v>
      </c>
      <c r="K33" s="741">
        <f t="shared" si="26"/>
        <v>872.91660000000002</v>
      </c>
      <c r="L33" s="741">
        <f t="shared" si="26"/>
        <v>577.053</v>
      </c>
      <c r="M33" s="741">
        <f t="shared" si="26"/>
        <v>540.96240000000012</v>
      </c>
      <c r="N33" s="742">
        <f t="shared" si="19"/>
        <v>19741.359900000003</v>
      </c>
      <c r="Q33" s="710">
        <f t="shared" si="24"/>
        <v>14686.891200000002</v>
      </c>
      <c r="AG33" s="1238">
        <v>43494</v>
      </c>
      <c r="AH33" s="775">
        <v>1478</v>
      </c>
      <c r="AI33" s="714">
        <v>96.4</v>
      </c>
      <c r="AT33" s="2206">
        <v>43525</v>
      </c>
      <c r="AU33" s="2199">
        <v>40.299999999999997</v>
      </c>
      <c r="AV33" s="2203">
        <v>10.8</v>
      </c>
    </row>
    <row r="34" spans="1:48" ht="15" thickBot="1">
      <c r="A34" s="715" t="s">
        <v>884</v>
      </c>
      <c r="B34" s="741">
        <f>B24*B25</f>
        <v>860.62200000000007</v>
      </c>
      <c r="C34" s="741">
        <f t="shared" ref="C34:M34" si="27">C24*C25</f>
        <v>690.08399999999995</v>
      </c>
      <c r="D34" s="741">
        <f t="shared" si="27"/>
        <v>983.5680000000001</v>
      </c>
      <c r="E34" s="741">
        <f t="shared" si="27"/>
        <v>1106.5140000000001</v>
      </c>
      <c r="F34" s="741">
        <f t="shared" si="27"/>
        <v>1567.5615000000003</v>
      </c>
      <c r="G34" s="741">
        <f t="shared" si="27"/>
        <v>5009.058</v>
      </c>
      <c r="H34" s="741">
        <f t="shared" si="27"/>
        <v>4456.7925000000005</v>
      </c>
      <c r="I34" s="741">
        <f t="shared" si="27"/>
        <v>2262.2064</v>
      </c>
      <c r="J34" s="741">
        <f t="shared" si="27"/>
        <v>928.04399999999998</v>
      </c>
      <c r="K34" s="741">
        <f t="shared" si="27"/>
        <v>915.94770000000005</v>
      </c>
      <c r="L34" s="741">
        <f t="shared" si="27"/>
        <v>886.40100000000007</v>
      </c>
      <c r="M34" s="741">
        <f t="shared" si="27"/>
        <v>1346.2587000000001</v>
      </c>
      <c r="N34" s="742">
        <f t="shared" si="19"/>
        <v>21013.057800000002</v>
      </c>
      <c r="Q34">
        <f>SUM(F34:K34)</f>
        <v>15139.6101</v>
      </c>
      <c r="AG34" s="1238">
        <v>43495</v>
      </c>
      <c r="AH34" s="775">
        <v>1457</v>
      </c>
      <c r="AI34" s="714">
        <v>95.8</v>
      </c>
      <c r="AT34" s="2206">
        <v>43526</v>
      </c>
      <c r="AU34" s="2199">
        <v>21.5</v>
      </c>
      <c r="AV34" s="2203">
        <v>10.8</v>
      </c>
    </row>
    <row r="35" spans="1:48" ht="15" thickBot="1">
      <c r="AG35" s="1238">
        <v>43496</v>
      </c>
      <c r="AH35" s="775">
        <v>1441</v>
      </c>
      <c r="AI35" s="714">
        <v>95.4</v>
      </c>
      <c r="AT35" s="2206">
        <v>43527</v>
      </c>
      <c r="AU35" s="2199">
        <v>4.42</v>
      </c>
      <c r="AV35" s="2203">
        <v>10.3</v>
      </c>
    </row>
    <row r="36" spans="1:48" ht="15" thickBot="1">
      <c r="AG36" s="1238">
        <v>43497</v>
      </c>
      <c r="AH36" s="775">
        <v>1422</v>
      </c>
      <c r="AI36" s="714">
        <v>94.9</v>
      </c>
      <c r="AT36" s="2206">
        <v>43528</v>
      </c>
      <c r="AU36" s="2199">
        <v>10.1</v>
      </c>
      <c r="AV36" s="2203">
        <v>14.9</v>
      </c>
    </row>
    <row r="37" spans="1:48" ht="15" thickBot="1">
      <c r="AG37" s="1238">
        <v>43498</v>
      </c>
      <c r="AH37" s="775">
        <v>1405</v>
      </c>
      <c r="AI37" s="714">
        <v>94.3</v>
      </c>
      <c r="AT37" s="2206">
        <v>43529</v>
      </c>
      <c r="AU37" s="2199">
        <v>19.399999999999999</v>
      </c>
      <c r="AV37" s="2203">
        <v>18</v>
      </c>
    </row>
    <row r="38" spans="1:48" ht="15" thickBot="1">
      <c r="AG38" s="1238">
        <v>43499</v>
      </c>
      <c r="AH38" s="775">
        <v>1388</v>
      </c>
      <c r="AI38" s="714">
        <v>93.7</v>
      </c>
      <c r="AT38" s="2206">
        <v>43530</v>
      </c>
      <c r="AU38" s="2199">
        <v>29.5</v>
      </c>
      <c r="AV38" s="2203">
        <v>12.9</v>
      </c>
    </row>
    <row r="39" spans="1:48" ht="15" thickBot="1">
      <c r="AG39" s="1238">
        <v>43500</v>
      </c>
      <c r="AH39" s="775">
        <v>1373</v>
      </c>
      <c r="AI39" s="714">
        <v>93.2</v>
      </c>
      <c r="AT39" s="2206">
        <v>43531</v>
      </c>
      <c r="AU39" s="2199">
        <v>44.4</v>
      </c>
      <c r="AV39" s="2203">
        <v>14.6</v>
      </c>
    </row>
    <row r="40" spans="1:48" ht="15" thickBot="1">
      <c r="AG40" s="1238">
        <v>43501</v>
      </c>
      <c r="AH40" s="775">
        <v>1355</v>
      </c>
      <c r="AI40" s="714">
        <v>92.6</v>
      </c>
      <c r="AT40" s="2206">
        <v>43532</v>
      </c>
      <c r="AU40" s="2199">
        <v>42.1</v>
      </c>
      <c r="AV40" s="2203">
        <v>19.2</v>
      </c>
    </row>
    <row r="41" spans="1:48" ht="15" thickBot="1">
      <c r="AG41" s="1238">
        <v>43502</v>
      </c>
      <c r="AH41" s="775">
        <v>1336</v>
      </c>
      <c r="AI41" s="714">
        <v>92</v>
      </c>
      <c r="AT41" s="2206">
        <v>43533</v>
      </c>
      <c r="AU41" s="2199">
        <v>39.6</v>
      </c>
      <c r="AV41" s="2203">
        <v>16.5</v>
      </c>
    </row>
    <row r="42" spans="1:48" ht="15" thickBot="1">
      <c r="AG42" s="1238">
        <v>43503</v>
      </c>
      <c r="AH42" s="775">
        <v>1331</v>
      </c>
      <c r="AI42" s="714">
        <v>91.8</v>
      </c>
      <c r="AT42" s="2206">
        <v>43534</v>
      </c>
      <c r="AU42" s="2199">
        <v>35.5</v>
      </c>
      <c r="AV42" s="2203">
        <v>13.9</v>
      </c>
    </row>
    <row r="43" spans="1:48" ht="15" thickBot="1">
      <c r="AG43" s="1238">
        <v>43504</v>
      </c>
      <c r="AH43" s="775">
        <v>1329</v>
      </c>
      <c r="AI43" s="714">
        <v>91.7</v>
      </c>
      <c r="AT43" s="2206">
        <v>43535</v>
      </c>
      <c r="AU43" s="2199">
        <v>38.299999999999997</v>
      </c>
      <c r="AV43" s="2203">
        <v>13.5</v>
      </c>
    </row>
    <row r="44" spans="1:48" ht="15" thickBot="1">
      <c r="AG44" s="1238">
        <v>43505</v>
      </c>
      <c r="AH44" s="775">
        <v>1331</v>
      </c>
      <c r="AI44" s="714">
        <v>91.8</v>
      </c>
      <c r="AT44" s="2206">
        <v>43536</v>
      </c>
      <c r="AU44" s="2199">
        <v>46.4</v>
      </c>
      <c r="AV44" s="2203">
        <v>14.4</v>
      </c>
    </row>
    <row r="45" spans="1:48" ht="15" thickBot="1">
      <c r="AG45" s="1238">
        <v>43506</v>
      </c>
      <c r="AH45" s="775">
        <v>1335</v>
      </c>
      <c r="AI45" s="714">
        <v>91.9</v>
      </c>
      <c r="AT45" s="2206">
        <v>43537</v>
      </c>
      <c r="AU45" s="2199">
        <v>34</v>
      </c>
      <c r="AV45" s="2203">
        <v>22</v>
      </c>
    </row>
    <row r="46" spans="1:48" ht="15" thickBot="1">
      <c r="AG46" s="1238">
        <v>43507</v>
      </c>
      <c r="AH46" s="775">
        <v>1335</v>
      </c>
      <c r="AI46" s="714">
        <v>92</v>
      </c>
      <c r="AT46" s="2206">
        <v>43538</v>
      </c>
      <c r="AU46" s="2199">
        <v>27.7</v>
      </c>
      <c r="AV46" s="2203">
        <v>18.5</v>
      </c>
    </row>
    <row r="47" spans="1:48" ht="15" thickBot="1">
      <c r="AG47" s="1238">
        <v>43508</v>
      </c>
      <c r="AH47" s="775">
        <v>1336</v>
      </c>
      <c r="AI47" s="714">
        <v>92</v>
      </c>
      <c r="AT47" s="2206">
        <v>43539</v>
      </c>
      <c r="AU47" s="2199">
        <v>29.3</v>
      </c>
      <c r="AV47" s="2203">
        <v>17.899999999999999</v>
      </c>
    </row>
    <row r="48" spans="1:48" ht="15" thickBot="1">
      <c r="AG48" s="1238">
        <v>43509</v>
      </c>
      <c r="AH48" s="775">
        <v>1343</v>
      </c>
      <c r="AI48" s="714">
        <v>92.2</v>
      </c>
      <c r="AT48" s="2206">
        <v>43540</v>
      </c>
      <c r="AU48" s="2199">
        <v>35.200000000000003</v>
      </c>
      <c r="AV48" s="2203">
        <v>17.100000000000001</v>
      </c>
    </row>
    <row r="49" spans="1:48" ht="15" thickBot="1">
      <c r="AG49" s="1238">
        <v>43510</v>
      </c>
      <c r="AH49" s="775">
        <v>1341</v>
      </c>
      <c r="AI49" s="714">
        <v>92.2</v>
      </c>
      <c r="AT49" s="2206">
        <v>43541</v>
      </c>
      <c r="AU49" s="2199">
        <v>38.6</v>
      </c>
      <c r="AV49" s="2203">
        <v>16</v>
      </c>
    </row>
    <row r="50" spans="1:48" ht="15" thickBot="1">
      <c r="AG50" s="1238">
        <v>43511</v>
      </c>
      <c r="AH50" s="775">
        <v>1339</v>
      </c>
      <c r="AI50" s="714">
        <v>92.1</v>
      </c>
      <c r="AT50" s="2206">
        <v>43542</v>
      </c>
      <c r="AU50" s="2199">
        <v>37.799999999999997</v>
      </c>
      <c r="AV50" s="2203">
        <v>17.899999999999999</v>
      </c>
    </row>
    <row r="51" spans="1:48" ht="15" thickBot="1">
      <c r="AG51" s="1238">
        <v>43512</v>
      </c>
      <c r="AH51" s="775">
        <v>1338</v>
      </c>
      <c r="AI51" s="714">
        <v>92</v>
      </c>
      <c r="AT51" s="2206">
        <v>43543</v>
      </c>
      <c r="AU51" s="2199">
        <v>36.9</v>
      </c>
      <c r="AV51" s="2203">
        <v>18.600000000000001</v>
      </c>
    </row>
    <row r="52" spans="1:48" ht="15" thickBot="1">
      <c r="AG52" s="1238">
        <v>43513</v>
      </c>
      <c r="AH52" s="775">
        <v>1335</v>
      </c>
      <c r="AI52" s="714">
        <v>91.9</v>
      </c>
      <c r="AT52" s="2206">
        <v>43544</v>
      </c>
      <c r="AU52" s="2199">
        <v>40.799999999999997</v>
      </c>
      <c r="AV52" s="2203">
        <v>16.899999999999999</v>
      </c>
    </row>
    <row r="53" spans="1:48" ht="15" thickBot="1">
      <c r="AG53" s="1238">
        <v>43514</v>
      </c>
      <c r="AH53" s="775">
        <v>1334</v>
      </c>
      <c r="AI53" s="714">
        <v>91.9</v>
      </c>
      <c r="AT53" s="2206">
        <v>43545</v>
      </c>
      <c r="AU53" s="2199">
        <v>45.6</v>
      </c>
      <c r="AV53" s="2203">
        <v>18.5</v>
      </c>
    </row>
    <row r="54" spans="1:48" ht="15" thickBot="1">
      <c r="AG54" s="1238">
        <v>43515</v>
      </c>
      <c r="AH54" s="775">
        <v>1334</v>
      </c>
      <c r="AI54" s="714">
        <v>91.9</v>
      </c>
      <c r="AT54" s="2206">
        <v>43546</v>
      </c>
      <c r="AU54" s="2199">
        <v>45.6</v>
      </c>
      <c r="AV54" s="2203">
        <v>17.5</v>
      </c>
    </row>
    <row r="55" spans="1:48" ht="15" thickBot="1">
      <c r="AG55" s="1238">
        <v>43516</v>
      </c>
      <c r="AH55" s="775">
        <v>1330</v>
      </c>
      <c r="AI55" s="714">
        <v>91.8</v>
      </c>
      <c r="AT55" s="2206">
        <v>43547</v>
      </c>
      <c r="AU55" s="2199">
        <v>40.200000000000003</v>
      </c>
      <c r="AV55" s="2203">
        <v>18.100000000000001</v>
      </c>
    </row>
    <row r="56" spans="1:48" ht="15" thickBot="1">
      <c r="AG56" s="1238">
        <v>43517</v>
      </c>
      <c r="AH56" s="775">
        <v>1327</v>
      </c>
      <c r="AI56" s="714">
        <v>91.6</v>
      </c>
      <c r="AT56" s="2206">
        <v>43548</v>
      </c>
      <c r="AU56" s="2199">
        <v>42</v>
      </c>
      <c r="AV56" s="2203">
        <v>17.600000000000001</v>
      </c>
    </row>
    <row r="57" spans="1:48" ht="15" thickBot="1">
      <c r="AG57" s="1238">
        <v>43518</v>
      </c>
      <c r="AH57" s="775">
        <v>1325</v>
      </c>
      <c r="AI57" s="714">
        <v>91.6</v>
      </c>
      <c r="AT57" s="2206">
        <v>43549</v>
      </c>
      <c r="AU57" s="2199">
        <v>42.8</v>
      </c>
      <c r="AV57" s="2203">
        <v>16.7</v>
      </c>
    </row>
    <row r="58" spans="1:48" ht="12.75" customHeight="1" thickBot="1">
      <c r="A58" s="2266" t="s">
        <v>120</v>
      </c>
      <c r="B58" s="2266"/>
      <c r="C58" s="2266"/>
      <c r="D58" s="2266"/>
      <c r="E58" s="746"/>
      <c r="AG58" s="1238">
        <v>43519</v>
      </c>
      <c r="AH58" s="775">
        <v>1327</v>
      </c>
      <c r="AI58" s="714">
        <v>91.6</v>
      </c>
      <c r="AT58" s="2206">
        <v>43550</v>
      </c>
      <c r="AU58" s="2199">
        <v>50.6</v>
      </c>
      <c r="AV58" s="2203">
        <v>18.8</v>
      </c>
    </row>
    <row r="59" spans="1:48" ht="12.75" customHeight="1" thickBot="1">
      <c r="A59" s="2266" t="s">
        <v>121</v>
      </c>
      <c r="B59" s="2266"/>
      <c r="C59" s="2266"/>
      <c r="D59" s="2266"/>
      <c r="E59" s="747"/>
      <c r="AG59" s="1238">
        <v>43520</v>
      </c>
      <c r="AH59" s="775">
        <v>1326</v>
      </c>
      <c r="AI59" s="714">
        <v>91.6</v>
      </c>
      <c r="AT59" s="2206">
        <v>43551</v>
      </c>
      <c r="AU59" s="2199">
        <v>56.5</v>
      </c>
      <c r="AV59" s="2203">
        <v>21.8</v>
      </c>
    </row>
    <row r="60" spans="1:48" ht="12.75" customHeight="1" thickBot="1">
      <c r="A60" s="2266" t="s">
        <v>122</v>
      </c>
      <c r="B60" s="2266"/>
      <c r="C60" s="2266"/>
      <c r="D60" s="2266"/>
      <c r="E60" s="747"/>
      <c r="AG60" s="1238">
        <v>43521</v>
      </c>
      <c r="AH60" s="775">
        <v>1326</v>
      </c>
      <c r="AI60" s="714">
        <v>91.6</v>
      </c>
      <c r="AT60" s="2206">
        <v>43552</v>
      </c>
      <c r="AU60" s="2199">
        <v>50.5</v>
      </c>
      <c r="AV60" s="2203">
        <v>25.3</v>
      </c>
    </row>
    <row r="61" spans="1:48" ht="12.75" customHeight="1" thickBot="1">
      <c r="A61" s="2266" t="s">
        <v>123</v>
      </c>
      <c r="B61" s="2266"/>
      <c r="C61" s="2266"/>
      <c r="D61" s="2266"/>
      <c r="E61" s="747"/>
      <c r="AG61" s="1238">
        <v>43522</v>
      </c>
      <c r="AH61" s="775">
        <v>1328</v>
      </c>
      <c r="AI61" s="714">
        <v>91.7</v>
      </c>
      <c r="AT61" s="2206">
        <v>43553</v>
      </c>
      <c r="AU61" s="2199">
        <v>37.799999999999997</v>
      </c>
      <c r="AV61" s="2203">
        <v>26</v>
      </c>
    </row>
    <row r="62" spans="1:48" ht="12.75" customHeight="1" thickBot="1">
      <c r="A62" s="2266" t="s">
        <v>124</v>
      </c>
      <c r="B62" s="2266"/>
      <c r="C62" s="2266"/>
      <c r="D62" s="2266"/>
      <c r="E62" s="748"/>
      <c r="AG62" s="1238">
        <v>43523</v>
      </c>
      <c r="AH62" s="775">
        <v>1344</v>
      </c>
      <c r="AI62" s="714">
        <v>92.2</v>
      </c>
      <c r="AT62" s="2206">
        <v>43554</v>
      </c>
      <c r="AU62" s="2199">
        <v>32.6</v>
      </c>
      <c r="AV62" s="2203">
        <v>22.1</v>
      </c>
    </row>
    <row r="63" spans="1:48" ht="17.25" customHeight="1" thickBot="1">
      <c r="A63" s="2266" t="s">
        <v>125</v>
      </c>
      <c r="B63" s="2266"/>
      <c r="C63" s="2266"/>
      <c r="D63" s="2266"/>
      <c r="E63" s="748"/>
      <c r="G63" s="2273" t="s">
        <v>239</v>
      </c>
      <c r="H63" s="2273"/>
      <c r="I63" s="2273"/>
      <c r="J63" s="2273"/>
      <c r="K63" s="2273"/>
      <c r="L63" s="2273"/>
      <c r="M63" s="2273"/>
      <c r="N63" s="2273"/>
      <c r="AG63" s="1238">
        <v>43524</v>
      </c>
      <c r="AH63" s="775">
        <v>1363</v>
      </c>
      <c r="AI63" s="714">
        <v>92.9</v>
      </c>
      <c r="AT63" s="2206">
        <v>43555</v>
      </c>
      <c r="AU63" s="2199">
        <v>37.1</v>
      </c>
      <c r="AV63" s="2203">
        <v>18.3</v>
      </c>
    </row>
    <row r="64" spans="1:48" ht="32" thickBot="1">
      <c r="A64" s="750" t="s">
        <v>179</v>
      </c>
      <c r="B64" s="751" t="s">
        <v>182</v>
      </c>
      <c r="C64" s="751" t="s">
        <v>180</v>
      </c>
      <c r="AG64" s="1238">
        <v>43525</v>
      </c>
      <c r="AH64" s="775">
        <v>1370</v>
      </c>
      <c r="AI64" s="714">
        <v>93.1</v>
      </c>
      <c r="AT64" s="2206">
        <v>43556</v>
      </c>
      <c r="AU64" s="2199">
        <v>43.4</v>
      </c>
      <c r="AV64" s="2203">
        <v>19.3</v>
      </c>
    </row>
    <row r="65" spans="1:48" ht="15" thickBot="1">
      <c r="A65" s="752">
        <v>1987</v>
      </c>
      <c r="B65" s="726">
        <v>61594.954499999993</v>
      </c>
      <c r="C65" s="726"/>
      <c r="E65" s="748"/>
      <c r="F65" s="748"/>
      <c r="AG65" s="1238">
        <v>43526</v>
      </c>
      <c r="AH65" s="775">
        <v>1375</v>
      </c>
      <c r="AI65" s="714">
        <v>93.3</v>
      </c>
      <c r="AT65" s="2206">
        <v>43557</v>
      </c>
      <c r="AU65" s="2199">
        <v>41.5</v>
      </c>
      <c r="AV65" s="2203">
        <v>20</v>
      </c>
    </row>
    <row r="66" spans="1:48" ht="15" thickBot="1">
      <c r="A66" s="752">
        <v>1988</v>
      </c>
      <c r="B66" s="726">
        <v>26201.379000000001</v>
      </c>
      <c r="C66" s="726"/>
      <c r="E66" s="748"/>
      <c r="F66" s="748"/>
      <c r="AG66" s="1238">
        <v>43527</v>
      </c>
      <c r="AH66" s="775">
        <v>1375</v>
      </c>
      <c r="AI66" s="714">
        <v>93.3</v>
      </c>
      <c r="AT66" s="2206">
        <v>43558</v>
      </c>
      <c r="AU66" s="2199">
        <v>46.2</v>
      </c>
      <c r="AV66" s="2203">
        <v>20.100000000000001</v>
      </c>
    </row>
    <row r="67" spans="1:48" ht="15" thickBot="1">
      <c r="A67" s="752">
        <v>1989</v>
      </c>
      <c r="B67" s="726">
        <v>7527.4679999999998</v>
      </c>
      <c r="C67" s="726"/>
      <c r="E67" s="748"/>
      <c r="F67" s="748"/>
      <c r="AG67" s="1238">
        <v>43528</v>
      </c>
      <c r="AH67" s="775">
        <v>1374</v>
      </c>
      <c r="AI67" s="714">
        <v>93.3</v>
      </c>
      <c r="AT67" s="2206">
        <v>43559</v>
      </c>
      <c r="AU67" s="2199">
        <v>50.3</v>
      </c>
      <c r="AV67" s="2203">
        <v>19.899999999999999</v>
      </c>
    </row>
    <row r="68" spans="1:48" ht="15" thickBot="1">
      <c r="A68" s="752">
        <v>1990</v>
      </c>
      <c r="B68" s="726">
        <v>20266.259999999998</v>
      </c>
      <c r="C68" s="726"/>
      <c r="E68" s="748"/>
      <c r="F68" s="748"/>
      <c r="AG68" s="1238">
        <v>43529</v>
      </c>
      <c r="AH68" s="775">
        <v>1375</v>
      </c>
      <c r="AI68" s="714">
        <v>93.3</v>
      </c>
      <c r="AT68" s="2206">
        <v>43560</v>
      </c>
      <c r="AU68" s="2199">
        <v>55.4</v>
      </c>
      <c r="AV68" s="2203">
        <v>21.7</v>
      </c>
    </row>
    <row r="69" spans="1:48" ht="15" thickBot="1">
      <c r="A69" s="752">
        <v>1991</v>
      </c>
      <c r="B69" s="726">
        <v>25694.7225</v>
      </c>
      <c r="C69" s="726"/>
      <c r="E69" s="748"/>
      <c r="F69" s="748"/>
      <c r="AG69" s="1238">
        <v>43530</v>
      </c>
      <c r="AH69" s="775">
        <v>1377</v>
      </c>
      <c r="AI69" s="714">
        <v>93.4</v>
      </c>
      <c r="AT69" s="2206">
        <v>43561</v>
      </c>
      <c r="AU69" s="2199">
        <v>54.6</v>
      </c>
      <c r="AV69" s="2203">
        <v>23.3</v>
      </c>
    </row>
    <row r="70" spans="1:48" ht="15" thickBot="1">
      <c r="A70" s="752">
        <v>1992</v>
      </c>
      <c r="B70" s="726">
        <v>18384.392999999996</v>
      </c>
      <c r="C70" s="726"/>
      <c r="AG70" s="1238">
        <v>43531</v>
      </c>
      <c r="AH70" s="775">
        <v>1387</v>
      </c>
      <c r="AI70" s="714">
        <v>93.7</v>
      </c>
      <c r="AT70" s="2206">
        <v>43562</v>
      </c>
      <c r="AU70" s="2199">
        <v>58.6</v>
      </c>
      <c r="AV70" s="2203">
        <v>24.8</v>
      </c>
    </row>
    <row r="71" spans="1:48" ht="15" thickBot="1">
      <c r="A71" s="752">
        <v>1993</v>
      </c>
      <c r="B71" s="726">
        <v>11291.201999999999</v>
      </c>
      <c r="C71" s="726"/>
      <c r="AG71" s="1238">
        <v>43532</v>
      </c>
      <c r="AH71" s="775">
        <v>1409</v>
      </c>
      <c r="AI71" s="714">
        <v>94.4</v>
      </c>
      <c r="AT71" s="2206">
        <v>43563</v>
      </c>
      <c r="AU71" s="2199">
        <v>61</v>
      </c>
      <c r="AV71" s="2203">
        <v>26</v>
      </c>
    </row>
    <row r="72" spans="1:48" ht="15" thickBot="1">
      <c r="A72" s="752">
        <v>1994</v>
      </c>
      <c r="B72" s="726">
        <v>13173.069</v>
      </c>
      <c r="C72" s="726"/>
      <c r="AG72" s="1238">
        <v>43533</v>
      </c>
      <c r="AH72" s="775">
        <v>1429</v>
      </c>
      <c r="AI72" s="714">
        <v>95.1</v>
      </c>
      <c r="AT72" s="2206">
        <v>43564</v>
      </c>
      <c r="AU72" s="2199">
        <v>59.8</v>
      </c>
      <c r="AV72" s="2203">
        <v>27.2</v>
      </c>
    </row>
    <row r="73" spans="1:48" ht="15" thickBot="1">
      <c r="A73" s="752">
        <v>1995</v>
      </c>
      <c r="B73" s="726">
        <v>69556.699499999988</v>
      </c>
      <c r="C73" s="726"/>
      <c r="AG73" s="1238">
        <v>43534</v>
      </c>
      <c r="AH73" s="775">
        <v>1436</v>
      </c>
      <c r="AI73" s="714">
        <v>95.3</v>
      </c>
      <c r="AT73" s="2206">
        <v>43565</v>
      </c>
      <c r="AU73" s="2199">
        <v>37</v>
      </c>
      <c r="AV73" s="2203">
        <v>33</v>
      </c>
    </row>
    <row r="74" spans="1:48" ht="15" thickBot="1">
      <c r="A74" s="752">
        <v>1996</v>
      </c>
      <c r="B74" s="726">
        <v>22654.783499999998</v>
      </c>
      <c r="C74" s="726"/>
      <c r="AG74" s="1238">
        <v>43535</v>
      </c>
      <c r="AH74" s="775">
        <v>1439</v>
      </c>
      <c r="AI74" s="714">
        <v>95.4</v>
      </c>
      <c r="AT74" s="2206">
        <v>43566</v>
      </c>
      <c r="AU74" s="2199">
        <v>28.5</v>
      </c>
      <c r="AV74" s="2203">
        <v>28.1</v>
      </c>
    </row>
    <row r="75" spans="1:48" ht="15" thickBot="1">
      <c r="A75" s="752">
        <v>1997</v>
      </c>
      <c r="B75" s="726">
        <v>38071.616999999998</v>
      </c>
      <c r="C75" s="726"/>
      <c r="AG75" s="1238">
        <v>43536</v>
      </c>
      <c r="AH75" s="775">
        <v>1443</v>
      </c>
      <c r="AI75" s="714">
        <v>95.4</v>
      </c>
      <c r="AT75" s="2206">
        <v>43567</v>
      </c>
      <c r="AU75" s="2199">
        <v>32</v>
      </c>
      <c r="AV75" s="2203">
        <v>24.8</v>
      </c>
    </row>
    <row r="76" spans="1:48" ht="15" thickBot="1">
      <c r="A76" s="752">
        <v>1998</v>
      </c>
      <c r="B76" s="726">
        <v>69122.422500000001</v>
      </c>
      <c r="C76" s="726"/>
      <c r="AG76" s="1238">
        <v>43537</v>
      </c>
      <c r="AH76" s="775">
        <v>1474</v>
      </c>
      <c r="AI76" s="714">
        <v>96.3</v>
      </c>
      <c r="AT76" s="2206">
        <v>43568</v>
      </c>
      <c r="AU76" s="2199">
        <v>34.4</v>
      </c>
      <c r="AV76" s="2203">
        <v>25.2</v>
      </c>
    </row>
    <row r="77" spans="1:48" ht="15" thickBot="1">
      <c r="A77" s="752">
        <v>1999</v>
      </c>
      <c r="B77" s="726">
        <v>52692.275999999998</v>
      </c>
      <c r="C77" s="726"/>
      <c r="AG77" s="1238">
        <v>43538</v>
      </c>
      <c r="AH77" s="775">
        <v>1528</v>
      </c>
      <c r="AI77" s="714">
        <v>97.7</v>
      </c>
      <c r="AT77" s="2206">
        <v>43569</v>
      </c>
      <c r="AU77" s="2199">
        <v>47.5</v>
      </c>
      <c r="AV77" s="2203">
        <v>23</v>
      </c>
    </row>
    <row r="78" spans="1:48" ht="15" thickBot="1">
      <c r="A78" s="752">
        <v>2000</v>
      </c>
      <c r="B78" s="726">
        <v>13173.069</v>
      </c>
      <c r="C78" s="726"/>
      <c r="D78" s="753"/>
      <c r="AG78" s="1238">
        <v>43539</v>
      </c>
      <c r="AH78" s="775">
        <v>1559</v>
      </c>
      <c r="AI78" s="714">
        <v>98.5</v>
      </c>
      <c r="AT78" s="2206">
        <v>43570</v>
      </c>
      <c r="AU78" s="2199">
        <v>55.2</v>
      </c>
      <c r="AV78" s="2203">
        <v>26.5</v>
      </c>
    </row>
    <row r="79" spans="1:48" ht="15" thickBot="1">
      <c r="A79" s="752">
        <v>2001</v>
      </c>
      <c r="B79" s="726">
        <v>15134.171499999999</v>
      </c>
      <c r="C79" s="726">
        <v>2323</v>
      </c>
      <c r="D79" s="753"/>
      <c r="AG79" s="1238">
        <v>43540</v>
      </c>
      <c r="AH79" s="775">
        <v>1581</v>
      </c>
      <c r="AI79" s="714">
        <v>99.1</v>
      </c>
      <c r="AT79" s="2206">
        <v>43571</v>
      </c>
      <c r="AU79" s="2199">
        <v>51.1</v>
      </c>
      <c r="AV79" s="2203">
        <v>26.2</v>
      </c>
    </row>
    <row r="80" spans="1:48" ht="15" thickBot="1">
      <c r="A80" s="752">
        <v>2002</v>
      </c>
      <c r="B80" s="726">
        <v>4248.6766499999994</v>
      </c>
      <c r="C80" s="726">
        <v>528.37034999999992</v>
      </c>
      <c r="D80" s="753"/>
      <c r="AG80" s="1238">
        <v>43541</v>
      </c>
      <c r="AH80" s="775">
        <v>1600</v>
      </c>
      <c r="AI80" s="714">
        <v>99.6</v>
      </c>
      <c r="AT80" s="2206">
        <v>43572</v>
      </c>
      <c r="AU80" s="2199">
        <v>49.9</v>
      </c>
      <c r="AV80" s="2203">
        <v>27.4</v>
      </c>
    </row>
    <row r="81" spans="1:48" ht="15" thickBot="1">
      <c r="A81" s="752">
        <v>2003</v>
      </c>
      <c r="B81" s="726">
        <v>21641.470499999999</v>
      </c>
      <c r="C81" s="726">
        <v>7455.0884999999998</v>
      </c>
      <c r="D81" s="753"/>
      <c r="AG81" s="1238">
        <v>43542</v>
      </c>
      <c r="AH81" s="775">
        <v>1616</v>
      </c>
      <c r="AI81" s="714">
        <v>99.9</v>
      </c>
      <c r="AT81" s="2206">
        <v>43573</v>
      </c>
      <c r="AU81" s="2199">
        <v>45.7</v>
      </c>
      <c r="AV81" s="2203">
        <v>26.9</v>
      </c>
    </row>
    <row r="82" spans="1:48" ht="15" thickBot="1">
      <c r="A82" s="752">
        <v>2004</v>
      </c>
      <c r="B82" s="726">
        <v>20924.913449999996</v>
      </c>
      <c r="C82" s="726">
        <v>3988.1104499999997</v>
      </c>
      <c r="D82" s="753"/>
      <c r="AG82" s="1238">
        <v>43543</v>
      </c>
      <c r="AH82" s="775">
        <v>1627</v>
      </c>
      <c r="AI82" s="714">
        <v>100</v>
      </c>
      <c r="AT82" s="2206">
        <v>43574</v>
      </c>
      <c r="AU82" s="2199">
        <v>55</v>
      </c>
      <c r="AV82" s="2203">
        <v>26.9</v>
      </c>
    </row>
    <row r="83" spans="1:48" ht="15" thickBot="1">
      <c r="A83" s="752">
        <v>2005</v>
      </c>
      <c r="B83" s="726">
        <v>36624.026999999995</v>
      </c>
      <c r="C83" s="726">
        <v>7455.0884999999998</v>
      </c>
      <c r="D83" s="753"/>
      <c r="AG83" s="1238">
        <v>43544</v>
      </c>
      <c r="AH83" s="775">
        <v>1624</v>
      </c>
      <c r="AI83" s="714">
        <v>100</v>
      </c>
      <c r="AT83" s="2206">
        <v>43575</v>
      </c>
      <c r="AU83" s="2199">
        <v>61.6</v>
      </c>
      <c r="AV83" s="2203">
        <v>30.4</v>
      </c>
    </row>
    <row r="84" spans="1:48" ht="16.5" thickBot="1">
      <c r="A84" s="752">
        <v>2006</v>
      </c>
      <c r="B84" s="726">
        <v>8497.4680000000008</v>
      </c>
      <c r="C84" s="726">
        <v>970</v>
      </c>
      <c r="D84" s="753"/>
      <c r="I84" s="1328" t="s">
        <v>736</v>
      </c>
      <c r="J84" s="1329" t="s">
        <v>1438</v>
      </c>
      <c r="AG84" s="1238">
        <v>43545</v>
      </c>
      <c r="AH84" s="775">
        <v>1624</v>
      </c>
      <c r="AI84" s="714">
        <v>100</v>
      </c>
      <c r="AT84" s="2206">
        <v>43576</v>
      </c>
      <c r="AU84" s="2199">
        <v>56</v>
      </c>
      <c r="AV84" s="2203">
        <v>31.8</v>
      </c>
    </row>
    <row r="85" spans="1:48" ht="15" thickBot="1">
      <c r="A85" s="752">
        <v>2007</v>
      </c>
      <c r="B85" s="726">
        <v>56500</v>
      </c>
      <c r="C85" s="726">
        <v>14861</v>
      </c>
      <c r="I85" s="1330"/>
      <c r="J85" s="1331"/>
      <c r="AG85" s="1238">
        <v>43546</v>
      </c>
      <c r="AH85" s="775">
        <v>1627</v>
      </c>
      <c r="AI85" s="714">
        <v>100</v>
      </c>
      <c r="AT85" s="2206">
        <v>43577</v>
      </c>
      <c r="AU85" s="2199">
        <v>42.1</v>
      </c>
      <c r="AV85" s="2203">
        <v>30.2</v>
      </c>
    </row>
    <row r="86" spans="1:48" ht="16.5" customHeight="1" thickBot="1">
      <c r="A86" s="752">
        <v>2008</v>
      </c>
      <c r="B86" s="726">
        <v>19400</v>
      </c>
      <c r="C86" s="726">
        <v>5613</v>
      </c>
      <c r="I86" s="1330" t="s">
        <v>1439</v>
      </c>
      <c r="J86" s="1332" t="s">
        <v>1440</v>
      </c>
      <c r="AG86" s="1238">
        <v>43547</v>
      </c>
      <c r="AH86" s="775">
        <v>1636</v>
      </c>
      <c r="AI86" s="714">
        <v>101</v>
      </c>
      <c r="AT86" s="2206">
        <v>43578</v>
      </c>
      <c r="AU86" s="2199">
        <v>51</v>
      </c>
      <c r="AV86" s="2203">
        <v>28.6</v>
      </c>
    </row>
    <row r="87" spans="1:48" ht="16.5" customHeight="1" thickBot="1">
      <c r="A87" s="752">
        <v>2009</v>
      </c>
      <c r="B87" s="726">
        <v>25943</v>
      </c>
      <c r="C87" s="726">
        <v>8202</v>
      </c>
      <c r="I87" s="1330"/>
      <c r="J87" s="1331"/>
      <c r="AG87" s="1238">
        <v>43548</v>
      </c>
      <c r="AH87" s="775">
        <v>1650</v>
      </c>
      <c r="AI87" s="714">
        <v>101</v>
      </c>
      <c r="AT87" s="2206">
        <v>43579</v>
      </c>
      <c r="AU87" s="2199">
        <v>57.7</v>
      </c>
      <c r="AV87" s="2203">
        <v>28</v>
      </c>
    </row>
    <row r="88" spans="1:48" ht="16.5" thickBot="1">
      <c r="A88" s="752">
        <v>2010</v>
      </c>
      <c r="B88" s="726">
        <v>29007</v>
      </c>
      <c r="C88" s="726">
        <v>8401</v>
      </c>
      <c r="D88" s="747"/>
      <c r="I88" s="1330" t="s">
        <v>1441</v>
      </c>
      <c r="J88" s="1332" t="s">
        <v>1442</v>
      </c>
      <c r="AG88" s="1238">
        <v>43549</v>
      </c>
      <c r="AH88" s="775">
        <v>1654</v>
      </c>
      <c r="AI88" s="714">
        <v>101</v>
      </c>
      <c r="AT88" s="2206">
        <v>43580</v>
      </c>
      <c r="AU88" s="2199">
        <v>52.4</v>
      </c>
      <c r="AV88" s="2203">
        <v>27.9</v>
      </c>
    </row>
    <row r="89" spans="1:48" ht="15" thickBot="1">
      <c r="A89" s="752">
        <v>2011</v>
      </c>
      <c r="B89" s="754">
        <v>9432</v>
      </c>
      <c r="C89" s="726">
        <v>1348</v>
      </c>
      <c r="D89" s="747"/>
      <c r="I89" s="1330"/>
      <c r="J89" s="1331"/>
      <c r="AG89" s="1238">
        <v>43550</v>
      </c>
      <c r="AH89" s="775">
        <v>1629</v>
      </c>
      <c r="AI89" s="714">
        <v>100</v>
      </c>
      <c r="AT89" s="2206">
        <v>43581</v>
      </c>
      <c r="AU89" s="2199">
        <v>57.4</v>
      </c>
      <c r="AV89" s="2203">
        <v>29.7</v>
      </c>
    </row>
    <row r="90" spans="1:48" ht="16.5" thickBot="1">
      <c r="A90" s="752">
        <v>2012</v>
      </c>
      <c r="B90" s="754">
        <v>5868</v>
      </c>
      <c r="C90" s="726">
        <v>1316</v>
      </c>
      <c r="D90" s="747"/>
      <c r="I90" s="1330" t="s">
        <v>1443</v>
      </c>
      <c r="J90" s="1332" t="s">
        <v>1444</v>
      </c>
      <c r="AG90" s="1238">
        <v>43551</v>
      </c>
      <c r="AH90" s="775">
        <v>1611</v>
      </c>
      <c r="AI90" s="714">
        <v>99.9</v>
      </c>
      <c r="AT90" s="2206">
        <v>43582</v>
      </c>
      <c r="AU90" s="2199">
        <v>54.1</v>
      </c>
      <c r="AV90" s="2203">
        <v>31.7</v>
      </c>
    </row>
    <row r="91" spans="1:48" ht="15" thickBot="1">
      <c r="A91" s="752">
        <v>2013</v>
      </c>
      <c r="B91" s="726">
        <v>42275</v>
      </c>
      <c r="C91" s="726"/>
      <c r="D91" s="747" t="s">
        <v>15</v>
      </c>
      <c r="E91" s="710">
        <f>AVERAGE(B65:B97)</f>
        <v>29769.243715151511</v>
      </c>
      <c r="F91" t="s">
        <v>1878</v>
      </c>
      <c r="I91" s="1330"/>
      <c r="J91" s="1331"/>
      <c r="AG91" s="1238">
        <v>43552</v>
      </c>
      <c r="AH91" s="775">
        <v>1607</v>
      </c>
      <c r="AI91" s="714">
        <v>99.8</v>
      </c>
      <c r="AT91" s="2206">
        <v>43583</v>
      </c>
      <c r="AU91" s="2199">
        <v>57.7</v>
      </c>
      <c r="AV91" s="2203">
        <v>33.799999999999997</v>
      </c>
    </row>
    <row r="92" spans="1:48" ht="16.5" thickBot="1">
      <c r="A92" s="752">
        <v>2014</v>
      </c>
      <c r="B92" s="726">
        <v>32941</v>
      </c>
      <c r="D92" s="747" t="s">
        <v>264</v>
      </c>
      <c r="E92" s="710">
        <f>MEDIAN(B65:B90)</f>
        <v>21283.191974999998</v>
      </c>
      <c r="F92" s="710" t="s">
        <v>741</v>
      </c>
      <c r="I92" s="1330" t="s">
        <v>1445</v>
      </c>
      <c r="J92" s="1332" t="s">
        <v>1446</v>
      </c>
      <c r="K92" s="710">
        <v>730</v>
      </c>
      <c r="L92" s="1335" t="s">
        <v>1238</v>
      </c>
      <c r="AG92" s="1238">
        <v>43553</v>
      </c>
      <c r="AH92" s="775">
        <v>1616</v>
      </c>
      <c r="AI92" s="714">
        <v>99.9</v>
      </c>
      <c r="AT92" s="2206">
        <v>43584</v>
      </c>
      <c r="AU92" s="2199">
        <v>35.1</v>
      </c>
      <c r="AV92" s="2203">
        <v>30.9</v>
      </c>
    </row>
    <row r="93" spans="1:48" ht="15" thickBot="1">
      <c r="A93" s="752">
        <v>2015</v>
      </c>
      <c r="B93" s="726">
        <v>118929</v>
      </c>
      <c r="D93" s="747" t="s">
        <v>15</v>
      </c>
      <c r="E93" s="710">
        <f>AVERAGE(B91:B97)</f>
        <v>39965.714285714283</v>
      </c>
      <c r="F93" t="s">
        <v>1872</v>
      </c>
      <c r="I93" s="1330"/>
      <c r="J93" s="1331"/>
      <c r="K93" s="710">
        <v>724</v>
      </c>
      <c r="L93" s="1335" t="s">
        <v>1239</v>
      </c>
      <c r="AG93" s="1238">
        <v>43554</v>
      </c>
      <c r="AH93" s="775">
        <v>1589</v>
      </c>
      <c r="AI93" s="714">
        <v>99.3</v>
      </c>
      <c r="AT93" s="2206">
        <v>43585</v>
      </c>
      <c r="AU93" s="2199">
        <v>33.799999999999997</v>
      </c>
      <c r="AV93" s="2203">
        <v>30.6</v>
      </c>
    </row>
    <row r="94" spans="1:48" ht="16.5" thickBot="1">
      <c r="A94" s="752">
        <v>2016</v>
      </c>
      <c r="B94" s="726">
        <v>39551</v>
      </c>
      <c r="D94" s="747"/>
      <c r="I94" s="1330" t="s">
        <v>1447</v>
      </c>
      <c r="J94" s="1332" t="s">
        <v>1448</v>
      </c>
      <c r="K94" s="710">
        <v>891</v>
      </c>
      <c r="L94" s="1335" t="s">
        <v>1240</v>
      </c>
      <c r="AG94" s="1238">
        <v>43555</v>
      </c>
      <c r="AH94" s="775">
        <v>1547</v>
      </c>
      <c r="AI94" s="714">
        <v>98.2</v>
      </c>
      <c r="AT94" s="2206">
        <v>43586</v>
      </c>
      <c r="AU94" s="2199">
        <v>38.6</v>
      </c>
      <c r="AV94" s="2203">
        <v>31.6</v>
      </c>
    </row>
    <row r="95" spans="1:48" ht="15" thickBot="1">
      <c r="A95" s="782">
        <v>2017</v>
      </c>
      <c r="B95" s="726">
        <v>20626</v>
      </c>
      <c r="D95" s="747"/>
      <c r="I95" s="1330"/>
      <c r="J95" s="1331"/>
      <c r="K95" s="1335">
        <v>1080</v>
      </c>
      <c r="L95" s="1335" t="s">
        <v>1241</v>
      </c>
      <c r="AG95" s="1238">
        <v>43556</v>
      </c>
      <c r="AH95" s="775">
        <v>1476</v>
      </c>
      <c r="AI95" s="714">
        <v>95.6</v>
      </c>
      <c r="AT95" s="2206">
        <v>43587</v>
      </c>
      <c r="AU95" s="2199">
        <v>45.8</v>
      </c>
      <c r="AV95" s="2203">
        <v>26.9</v>
      </c>
    </row>
    <row r="96" spans="1:48" ht="15" thickBot="1">
      <c r="A96" s="1022">
        <v>2018</v>
      </c>
      <c r="B96" s="754">
        <v>6988</v>
      </c>
      <c r="D96" s="747"/>
      <c r="I96" s="1330" t="s">
        <v>1449</v>
      </c>
      <c r="J96" s="1332" t="s">
        <v>1450</v>
      </c>
      <c r="K96" s="1335">
        <v>2230</v>
      </c>
      <c r="L96" s="1335" t="s">
        <v>1242</v>
      </c>
      <c r="AG96" s="1238">
        <v>43557</v>
      </c>
      <c r="AH96" s="775">
        <v>1494</v>
      </c>
      <c r="AI96" s="714">
        <v>96.8</v>
      </c>
      <c r="AT96" s="2206">
        <v>43588</v>
      </c>
      <c r="AU96" s="2199">
        <v>52.1</v>
      </c>
      <c r="AV96" s="2203">
        <v>25.5</v>
      </c>
    </row>
    <row r="97" spans="1:48" ht="15" thickBot="1">
      <c r="A97" s="1022">
        <v>2019</v>
      </c>
      <c r="B97" s="754">
        <v>18450</v>
      </c>
      <c r="D97" s="747"/>
      <c r="I97" s="1330"/>
      <c r="J97" s="1331"/>
      <c r="K97" s="1335">
        <v>1060</v>
      </c>
      <c r="L97" s="1335" t="s">
        <v>1045</v>
      </c>
      <c r="AG97" s="1238">
        <v>43558</v>
      </c>
      <c r="AH97" s="775">
        <v>1483</v>
      </c>
      <c r="AI97" s="714">
        <v>96.5</v>
      </c>
      <c r="AT97" s="2206">
        <v>43589</v>
      </c>
      <c r="AU97" s="2199">
        <v>55.4</v>
      </c>
      <c r="AV97" s="2203">
        <v>24.9</v>
      </c>
    </row>
    <row r="98" spans="1:48" ht="42.5" thickBot="1">
      <c r="A98" s="755" t="s">
        <v>179</v>
      </c>
      <c r="B98" s="756" t="s">
        <v>181</v>
      </c>
      <c r="I98" s="1330" t="s">
        <v>1451</v>
      </c>
      <c r="J98" s="1332" t="s">
        <v>1452</v>
      </c>
      <c r="K98" s="1335">
        <v>708</v>
      </c>
      <c r="L98" s="1335" t="s">
        <v>1046</v>
      </c>
      <c r="AG98" s="1238">
        <v>43559</v>
      </c>
      <c r="AH98" s="775">
        <v>1472</v>
      </c>
      <c r="AI98" s="714">
        <v>96.3</v>
      </c>
      <c r="AT98" s="2206">
        <v>43590</v>
      </c>
      <c r="AU98" s="2199">
        <v>58.9</v>
      </c>
      <c r="AV98" s="2203">
        <v>24.5</v>
      </c>
    </row>
    <row r="99" spans="1:48" ht="15" thickBot="1">
      <c r="A99" s="752">
        <v>1987</v>
      </c>
      <c r="B99" s="757">
        <v>85.1</v>
      </c>
      <c r="I99" s="1330"/>
      <c r="J99" s="1331"/>
      <c r="K99" s="1335">
        <v>477</v>
      </c>
      <c r="L99" s="1335" t="s">
        <v>1047</v>
      </c>
      <c r="AG99" s="1238">
        <v>43560</v>
      </c>
      <c r="AH99" s="775">
        <v>1467</v>
      </c>
      <c r="AI99" s="714">
        <v>96.1</v>
      </c>
      <c r="AT99" s="2206">
        <v>43591</v>
      </c>
      <c r="AU99" s="2199">
        <v>55</v>
      </c>
      <c r="AV99" s="2203">
        <v>24.8</v>
      </c>
    </row>
    <row r="100" spans="1:48" ht="15" thickBot="1">
      <c r="A100" s="752">
        <v>1988</v>
      </c>
      <c r="B100" s="757">
        <v>36.200000000000003</v>
      </c>
      <c r="I100" s="1330" t="s">
        <v>1453</v>
      </c>
      <c r="J100" s="1332" t="s">
        <v>1454</v>
      </c>
      <c r="K100" s="1335">
        <v>642</v>
      </c>
      <c r="L100" s="1335" t="s">
        <v>1243</v>
      </c>
      <c r="AG100" s="1238">
        <v>43561</v>
      </c>
      <c r="AH100" s="775">
        <v>1469</v>
      </c>
      <c r="AI100" s="714">
        <v>96.2</v>
      </c>
      <c r="AT100" s="2206">
        <v>43592</v>
      </c>
      <c r="AU100" s="2199">
        <v>48.3</v>
      </c>
      <c r="AV100" s="2203">
        <v>28.7</v>
      </c>
    </row>
    <row r="101" spans="1:48" ht="15" thickBot="1">
      <c r="A101" s="752">
        <v>1989</v>
      </c>
      <c r="B101" s="757">
        <v>10.4</v>
      </c>
      <c r="I101" s="1330"/>
      <c r="J101" s="1331"/>
      <c r="K101" s="1335">
        <v>385</v>
      </c>
      <c r="L101" s="1335" t="s">
        <v>1244</v>
      </c>
      <c r="AG101" s="1238">
        <v>43562</v>
      </c>
      <c r="AH101" s="775">
        <v>1476</v>
      </c>
      <c r="AI101" s="714">
        <v>96.3</v>
      </c>
      <c r="AT101" s="2206">
        <v>43593</v>
      </c>
      <c r="AU101" s="2199">
        <v>41</v>
      </c>
      <c r="AV101" s="2203">
        <v>35.1</v>
      </c>
    </row>
    <row r="102" spans="1:48" ht="15" thickBot="1">
      <c r="A102" s="752">
        <v>1990</v>
      </c>
      <c r="B102" s="757">
        <v>28</v>
      </c>
      <c r="I102" s="1330" t="s">
        <v>1455</v>
      </c>
      <c r="J102" s="1332" t="s">
        <v>1456</v>
      </c>
      <c r="K102" s="1335">
        <v>371</v>
      </c>
      <c r="L102" s="1335" t="s">
        <v>1245</v>
      </c>
      <c r="AG102" s="1238">
        <v>43563</v>
      </c>
      <c r="AH102" s="775">
        <v>1485</v>
      </c>
      <c r="AI102" s="714">
        <v>96.6</v>
      </c>
      <c r="AT102" s="2206">
        <v>43594</v>
      </c>
      <c r="AU102" s="2199">
        <v>34.299999999999997</v>
      </c>
      <c r="AV102" s="2203">
        <v>35.799999999999997</v>
      </c>
    </row>
    <row r="103" spans="1:48" ht="15" thickBot="1">
      <c r="A103" s="752">
        <v>1991</v>
      </c>
      <c r="B103" s="757">
        <v>35.5</v>
      </c>
      <c r="I103" s="1330"/>
      <c r="J103" s="1331"/>
      <c r="K103" s="1335">
        <v>374</v>
      </c>
      <c r="L103" s="1335" t="s">
        <v>1246</v>
      </c>
      <c r="AG103" s="1238">
        <v>43564</v>
      </c>
      <c r="AH103" s="775">
        <v>1494</v>
      </c>
      <c r="AI103" s="714">
        <v>96.8</v>
      </c>
      <c r="AT103" s="2206">
        <v>43595</v>
      </c>
      <c r="AU103" s="2199">
        <v>42.7</v>
      </c>
      <c r="AV103" s="2203">
        <v>28.5</v>
      </c>
    </row>
    <row r="104" spans="1:48" ht="15" thickBot="1">
      <c r="A104" s="752">
        <v>1992</v>
      </c>
      <c r="B104" s="757">
        <v>25.4</v>
      </c>
      <c r="I104" s="1330" t="s">
        <v>1457</v>
      </c>
      <c r="J104" s="1332" t="s">
        <v>1458</v>
      </c>
      <c r="AG104" s="1238">
        <v>43565</v>
      </c>
      <c r="AH104" s="775">
        <v>1509</v>
      </c>
      <c r="AI104" s="714">
        <v>97.2</v>
      </c>
      <c r="AT104" s="2206">
        <v>43596</v>
      </c>
      <c r="AU104" s="2199">
        <v>49.7</v>
      </c>
      <c r="AV104" s="2203">
        <v>38.1</v>
      </c>
    </row>
    <row r="105" spans="1:48" ht="15" thickBot="1">
      <c r="A105" s="752">
        <v>1993</v>
      </c>
      <c r="B105" s="757">
        <v>15.6</v>
      </c>
      <c r="I105" s="1330"/>
      <c r="J105" s="1331"/>
      <c r="AG105" s="1238">
        <v>43566</v>
      </c>
      <c r="AH105" s="775">
        <v>1539</v>
      </c>
      <c r="AI105" s="714">
        <v>98</v>
      </c>
      <c r="AT105" s="2206">
        <v>43597</v>
      </c>
      <c r="AU105" s="2199">
        <v>55.6</v>
      </c>
      <c r="AV105" s="2203">
        <v>36.200000000000003</v>
      </c>
    </row>
    <row r="106" spans="1:48" ht="16.5" thickBot="1">
      <c r="A106" s="752">
        <v>1994</v>
      </c>
      <c r="B106" s="757">
        <v>18.2</v>
      </c>
      <c r="I106" s="1330" t="s">
        <v>1459</v>
      </c>
      <c r="J106" s="1332" t="s">
        <v>1460</v>
      </c>
      <c r="AG106" s="1238">
        <v>43567</v>
      </c>
      <c r="AH106" s="775">
        <v>1549</v>
      </c>
      <c r="AI106" s="714">
        <v>98.3</v>
      </c>
      <c r="AT106" s="2206">
        <v>43598</v>
      </c>
      <c r="AU106" s="2199">
        <v>62.6</v>
      </c>
      <c r="AV106" s="2203">
        <v>39.9</v>
      </c>
    </row>
    <row r="107" spans="1:48" ht="15" thickBot="1">
      <c r="A107" s="752">
        <v>1995</v>
      </c>
      <c r="B107" s="757">
        <v>96.1</v>
      </c>
      <c r="I107" s="1330"/>
      <c r="J107" s="1331"/>
      <c r="AG107" s="1238">
        <v>43568</v>
      </c>
      <c r="AH107" s="775">
        <v>1556</v>
      </c>
      <c r="AI107" s="714">
        <v>98.5</v>
      </c>
      <c r="AT107" s="2206">
        <v>43599</v>
      </c>
      <c r="AU107" s="2199">
        <v>65.7</v>
      </c>
      <c r="AV107" s="2203">
        <v>46.1</v>
      </c>
    </row>
    <row r="108" spans="1:48" ht="16.5" thickBot="1">
      <c r="A108" s="752">
        <v>1996</v>
      </c>
      <c r="B108" s="757">
        <v>31.3</v>
      </c>
      <c r="I108" s="1333" t="s">
        <v>1461</v>
      </c>
      <c r="J108" s="1334" t="s">
        <v>1462</v>
      </c>
      <c r="AG108" s="1238">
        <v>43569</v>
      </c>
      <c r="AH108" s="775">
        <v>1561</v>
      </c>
      <c r="AI108" s="714">
        <v>98.6</v>
      </c>
      <c r="AT108" s="2206">
        <v>43600</v>
      </c>
      <c r="AU108" s="2199">
        <v>65.7</v>
      </c>
      <c r="AV108" s="2203">
        <v>50.4</v>
      </c>
    </row>
    <row r="109" spans="1:48" ht="15" thickBot="1">
      <c r="A109" s="752">
        <v>1997</v>
      </c>
      <c r="B109" s="757">
        <v>52.6</v>
      </c>
      <c r="J109" s="710">
        <f>SUM(J92:J108)</f>
        <v>0</v>
      </c>
      <c r="K109" s="710">
        <f>SUM(K92:K108)</f>
        <v>9672</v>
      </c>
      <c r="AG109" s="1238">
        <v>43570</v>
      </c>
      <c r="AH109" s="775">
        <v>1575</v>
      </c>
      <c r="AI109" s="714">
        <v>98.9</v>
      </c>
      <c r="AT109" s="2206">
        <v>43601</v>
      </c>
      <c r="AU109" s="2199">
        <v>64.400000000000006</v>
      </c>
      <c r="AV109" s="2203">
        <v>53.1</v>
      </c>
    </row>
    <row r="110" spans="1:48" ht="15" thickBot="1">
      <c r="A110" s="752">
        <v>1998</v>
      </c>
      <c r="B110" s="757">
        <v>95.5</v>
      </c>
      <c r="AG110" s="1238">
        <v>43571</v>
      </c>
      <c r="AH110" s="775">
        <v>1609</v>
      </c>
      <c r="AI110" s="714">
        <v>99.8</v>
      </c>
      <c r="AT110" s="2206">
        <v>43602</v>
      </c>
      <c r="AU110" s="2199">
        <v>55.9</v>
      </c>
      <c r="AV110" s="2203">
        <v>53.8</v>
      </c>
    </row>
    <row r="111" spans="1:48" ht="15" thickBot="1">
      <c r="A111" s="752">
        <v>1999</v>
      </c>
      <c r="B111" s="757">
        <v>72.8</v>
      </c>
      <c r="AG111" s="1238">
        <v>43572</v>
      </c>
      <c r="AH111" s="775">
        <v>1646</v>
      </c>
      <c r="AI111" s="714">
        <v>101</v>
      </c>
      <c r="AT111" s="2206">
        <v>43603</v>
      </c>
      <c r="AU111" s="2199">
        <v>49.6</v>
      </c>
      <c r="AV111" s="2203">
        <v>47.6</v>
      </c>
    </row>
    <row r="112" spans="1:48" ht="15" thickBot="1">
      <c r="A112" s="752">
        <v>2000</v>
      </c>
      <c r="B112" s="757">
        <v>18.2</v>
      </c>
      <c r="AG112" s="1238">
        <v>43573</v>
      </c>
      <c r="AH112" s="775">
        <v>1688</v>
      </c>
      <c r="AI112" s="714">
        <v>102</v>
      </c>
      <c r="AT112" s="2206">
        <v>43604</v>
      </c>
      <c r="AU112" s="2199">
        <v>44.4</v>
      </c>
      <c r="AV112" s="2203">
        <v>42.5</v>
      </c>
    </row>
    <row r="113" spans="1:48" ht="15" thickBot="1">
      <c r="A113" s="752">
        <v>2001</v>
      </c>
      <c r="B113" s="757">
        <v>17.7</v>
      </c>
      <c r="AG113" s="1238">
        <v>43574</v>
      </c>
      <c r="AH113" s="775">
        <v>1728</v>
      </c>
      <c r="AI113" s="714">
        <v>103</v>
      </c>
      <c r="AT113" s="2206">
        <v>43605</v>
      </c>
      <c r="AU113" s="2199">
        <v>37.6</v>
      </c>
      <c r="AV113" s="2203">
        <v>42.8</v>
      </c>
    </row>
    <row r="114" spans="1:48" ht="15" thickBot="1">
      <c r="A114" s="752">
        <v>2002</v>
      </c>
      <c r="B114" s="757">
        <v>5.14</v>
      </c>
      <c r="AG114" s="1238">
        <v>43575</v>
      </c>
      <c r="AH114" s="775">
        <v>1771</v>
      </c>
      <c r="AI114" s="714">
        <v>104</v>
      </c>
      <c r="AT114" s="2206">
        <v>43606</v>
      </c>
      <c r="AU114" s="2199">
        <v>35.5</v>
      </c>
      <c r="AV114" s="2203">
        <v>47.5</v>
      </c>
    </row>
    <row r="115" spans="1:48" ht="15" thickBot="1">
      <c r="A115" s="752">
        <v>2003</v>
      </c>
      <c r="B115" s="757">
        <v>19.600000000000001</v>
      </c>
      <c r="AG115" s="1238">
        <v>43576</v>
      </c>
      <c r="AH115" s="775">
        <v>1823</v>
      </c>
      <c r="AI115" s="714">
        <v>106</v>
      </c>
      <c r="AT115" s="2206">
        <v>43607</v>
      </c>
      <c r="AU115" s="2199">
        <v>40</v>
      </c>
      <c r="AV115" s="2203">
        <v>43.2</v>
      </c>
    </row>
    <row r="116" spans="1:48" ht="15" thickBot="1">
      <c r="A116" s="752">
        <v>2004</v>
      </c>
      <c r="B116" s="757">
        <v>23.4</v>
      </c>
      <c r="AG116" s="1238">
        <v>43577</v>
      </c>
      <c r="AH116" s="775">
        <v>1876</v>
      </c>
      <c r="AI116" s="714">
        <v>108</v>
      </c>
      <c r="AT116" s="2206">
        <v>43608</v>
      </c>
      <c r="AU116" s="2199">
        <v>39.4</v>
      </c>
      <c r="AV116" s="2203">
        <v>48.7</v>
      </c>
    </row>
    <row r="117" spans="1:48" ht="15" thickBot="1">
      <c r="A117" s="752">
        <v>2005</v>
      </c>
      <c r="B117" s="758">
        <v>40.299999999999997</v>
      </c>
      <c r="AG117" s="1238">
        <v>43578</v>
      </c>
      <c r="AH117" s="775">
        <v>1930</v>
      </c>
      <c r="AI117" s="714">
        <v>109</v>
      </c>
      <c r="AT117" s="2206">
        <v>43609</v>
      </c>
      <c r="AU117" s="2199">
        <v>52.5</v>
      </c>
      <c r="AV117" s="2203">
        <v>43.7</v>
      </c>
    </row>
    <row r="118" spans="1:48" ht="16" thickBot="1">
      <c r="A118" s="752">
        <v>2006</v>
      </c>
      <c r="B118" s="759">
        <v>10.4</v>
      </c>
      <c r="AG118" s="1238">
        <v>43579</v>
      </c>
      <c r="AH118" s="775">
        <v>1942</v>
      </c>
      <c r="AI118" s="714">
        <v>110</v>
      </c>
      <c r="AT118" s="2206">
        <v>43610</v>
      </c>
      <c r="AU118" s="2199">
        <v>57.8</v>
      </c>
      <c r="AV118" s="2203">
        <v>54.6</v>
      </c>
    </row>
    <row r="119" spans="1:48" ht="15" thickBot="1">
      <c r="A119" s="752">
        <v>2007</v>
      </c>
      <c r="B119" s="726"/>
      <c r="AG119" s="1238">
        <v>43580</v>
      </c>
      <c r="AH119" s="775">
        <v>1887</v>
      </c>
      <c r="AI119" s="714">
        <v>108</v>
      </c>
      <c r="AT119" s="2206">
        <v>43611</v>
      </c>
      <c r="AU119" s="2199">
        <v>57.9</v>
      </c>
      <c r="AV119" s="2203">
        <v>56.9</v>
      </c>
    </row>
    <row r="120" spans="1:48" ht="15" thickBot="1">
      <c r="A120" s="752">
        <v>2008</v>
      </c>
      <c r="B120" s="726"/>
      <c r="AG120" s="1238">
        <v>43581</v>
      </c>
      <c r="AH120" s="775">
        <v>1877</v>
      </c>
      <c r="AI120" s="714">
        <v>108</v>
      </c>
      <c r="AT120" s="2206">
        <v>43612</v>
      </c>
      <c r="AU120" s="2199">
        <v>55.5</v>
      </c>
      <c r="AV120" s="2203">
        <v>63.8</v>
      </c>
    </row>
    <row r="121" spans="1:48" ht="15" thickBot="1">
      <c r="AG121" s="1238">
        <v>43582</v>
      </c>
      <c r="AH121" s="775">
        <v>1878</v>
      </c>
      <c r="AI121" s="714">
        <v>108</v>
      </c>
      <c r="AT121" s="2206">
        <v>43613</v>
      </c>
      <c r="AU121" s="2199">
        <v>48.2</v>
      </c>
      <c r="AV121" s="2203">
        <v>68.2</v>
      </c>
    </row>
    <row r="122" spans="1:48" ht="15" thickBot="1">
      <c r="AG122" s="1238">
        <v>43583</v>
      </c>
      <c r="AH122" s="775">
        <v>1882</v>
      </c>
      <c r="AI122" s="714">
        <v>108</v>
      </c>
      <c r="AT122" s="2206">
        <v>43614</v>
      </c>
      <c r="AU122" s="2199">
        <v>48</v>
      </c>
      <c r="AV122" s="2203">
        <v>65.8</v>
      </c>
    </row>
    <row r="123" spans="1:48" ht="15" thickBot="1">
      <c r="AG123" s="1238">
        <v>43584</v>
      </c>
      <c r="AH123" s="775">
        <v>1882</v>
      </c>
      <c r="AI123" s="714">
        <v>108</v>
      </c>
      <c r="AT123" s="2206">
        <v>43615</v>
      </c>
      <c r="AU123" s="2199">
        <v>55.1</v>
      </c>
      <c r="AV123" s="2203">
        <v>60.4</v>
      </c>
    </row>
    <row r="124" spans="1:48" ht="23.5" thickBot="1">
      <c r="F124" s="760" t="s">
        <v>493</v>
      </c>
      <c r="AG124" s="1238">
        <v>43585</v>
      </c>
      <c r="AH124" s="775">
        <v>1888</v>
      </c>
      <c r="AI124" s="714">
        <v>108</v>
      </c>
      <c r="AT124" s="2206">
        <v>43616</v>
      </c>
      <c r="AU124" s="2199">
        <v>60.3</v>
      </c>
      <c r="AV124" s="2203">
        <v>60.2</v>
      </c>
    </row>
    <row r="125" spans="1:48" ht="16" thickBot="1">
      <c r="A125" s="761" t="s">
        <v>479</v>
      </c>
      <c r="C125" s="762">
        <v>41518</v>
      </c>
      <c r="D125" s="761">
        <v>68</v>
      </c>
      <c r="F125" s="761">
        <v>44.4</v>
      </c>
      <c r="G125" s="710">
        <f>(F125*0.12)+F125</f>
        <v>49.727999999999994</v>
      </c>
      <c r="I125" s="761">
        <v>6.33</v>
      </c>
      <c r="L125" s="761">
        <v>44.4</v>
      </c>
      <c r="M125" s="761">
        <v>6.33</v>
      </c>
      <c r="AG125" s="1238">
        <v>43586</v>
      </c>
      <c r="AH125" s="775">
        <v>1891</v>
      </c>
      <c r="AI125" s="714">
        <v>108</v>
      </c>
      <c r="AT125" s="2206">
        <v>43617</v>
      </c>
      <c r="AU125" s="2199">
        <v>59.8</v>
      </c>
      <c r="AV125" s="2203">
        <v>62.6</v>
      </c>
    </row>
    <row r="126" spans="1:48" ht="16" thickBot="1">
      <c r="A126" s="761" t="s">
        <v>479</v>
      </c>
      <c r="C126" s="762">
        <v>41519</v>
      </c>
      <c r="D126" s="761">
        <v>71.900000000000006</v>
      </c>
      <c r="F126" s="761">
        <v>46</v>
      </c>
      <c r="G126" s="710">
        <f t="shared" ref="G126:G157" si="28">(F126*0.12)+F126</f>
        <v>51.519999999999996</v>
      </c>
      <c r="I126" s="761">
        <v>6.34</v>
      </c>
      <c r="L126" s="761">
        <v>46</v>
      </c>
      <c r="M126" s="761">
        <v>6.34</v>
      </c>
      <c r="AG126" s="1238">
        <v>43587</v>
      </c>
      <c r="AH126" s="775">
        <v>1887</v>
      </c>
      <c r="AI126" s="714">
        <v>108</v>
      </c>
      <c r="AT126" s="2206">
        <v>43618</v>
      </c>
      <c r="AU126" s="2199">
        <v>64.400000000000006</v>
      </c>
      <c r="AV126" s="2203">
        <v>66.3</v>
      </c>
    </row>
    <row r="127" spans="1:48" ht="16" thickBot="1">
      <c r="A127" s="761" t="s">
        <v>479</v>
      </c>
      <c r="C127" s="762">
        <v>41520</v>
      </c>
      <c r="D127" s="761">
        <v>76.400000000000006</v>
      </c>
      <c r="F127" s="761">
        <v>46.1</v>
      </c>
      <c r="G127" s="710">
        <f t="shared" si="28"/>
        <v>51.632000000000005</v>
      </c>
      <c r="I127" s="761">
        <v>6.34</v>
      </c>
      <c r="L127" s="761">
        <v>46.1</v>
      </c>
      <c r="M127" s="761">
        <v>6.34</v>
      </c>
      <c r="AG127" s="1238">
        <v>43588</v>
      </c>
      <c r="AH127" s="775">
        <v>1881</v>
      </c>
      <c r="AI127" s="714">
        <v>108</v>
      </c>
      <c r="AT127" s="2206">
        <v>43619</v>
      </c>
      <c r="AU127" s="2199">
        <v>62.1</v>
      </c>
      <c r="AV127" s="2203">
        <v>72</v>
      </c>
    </row>
    <row r="128" spans="1:48" ht="16" thickBot="1">
      <c r="A128" s="761" t="s">
        <v>479</v>
      </c>
      <c r="C128" s="762">
        <v>41521</v>
      </c>
      <c r="D128" s="761">
        <v>74.7</v>
      </c>
      <c r="F128" s="761">
        <v>44.2</v>
      </c>
      <c r="G128" s="710">
        <f t="shared" si="28"/>
        <v>49.504000000000005</v>
      </c>
      <c r="I128" s="761">
        <v>6.33</v>
      </c>
      <c r="L128" s="761">
        <v>44.2</v>
      </c>
      <c r="M128" s="761">
        <v>6.33</v>
      </c>
      <c r="AG128" s="1238">
        <v>43589</v>
      </c>
      <c r="AH128" s="775">
        <v>1878</v>
      </c>
      <c r="AI128" s="714">
        <v>108</v>
      </c>
      <c r="AT128" s="2206">
        <v>43620</v>
      </c>
      <c r="AU128" s="2199">
        <v>63.7</v>
      </c>
      <c r="AV128" s="2203">
        <v>66.2</v>
      </c>
    </row>
    <row r="129" spans="1:48" ht="16" thickBot="1">
      <c r="A129" s="761" t="s">
        <v>479</v>
      </c>
      <c r="C129" s="762">
        <v>41522</v>
      </c>
      <c r="D129" s="761">
        <v>75.3</v>
      </c>
      <c r="F129" s="761">
        <v>42.6</v>
      </c>
      <c r="G129" s="710">
        <f t="shared" si="28"/>
        <v>47.712000000000003</v>
      </c>
      <c r="I129" s="761">
        <v>6.31</v>
      </c>
      <c r="L129" s="761">
        <v>42.6</v>
      </c>
      <c r="M129" s="761">
        <v>6.31</v>
      </c>
      <c r="AG129" s="1238">
        <v>43590</v>
      </c>
      <c r="AH129" s="775">
        <v>1876</v>
      </c>
      <c r="AI129" s="714">
        <v>108</v>
      </c>
      <c r="AT129" s="2206">
        <v>43621</v>
      </c>
      <c r="AU129" s="2199">
        <v>61.6</v>
      </c>
      <c r="AV129" s="2203">
        <v>68</v>
      </c>
    </row>
    <row r="130" spans="1:48" ht="16" thickBot="1">
      <c r="A130" s="761" t="s">
        <v>479</v>
      </c>
      <c r="C130" s="762">
        <v>41523</v>
      </c>
      <c r="D130" s="761">
        <v>77.099999999999994</v>
      </c>
      <c r="F130" s="761">
        <v>39.4</v>
      </c>
      <c r="G130" s="710">
        <f t="shared" si="28"/>
        <v>44.128</v>
      </c>
      <c r="I130" s="761">
        <v>6.28</v>
      </c>
      <c r="L130" s="761">
        <v>39.4</v>
      </c>
      <c r="M130" s="761">
        <v>6.28</v>
      </c>
      <c r="AG130" s="1238">
        <v>43591</v>
      </c>
      <c r="AH130" s="775">
        <v>1875</v>
      </c>
      <c r="AI130" s="714">
        <v>108</v>
      </c>
      <c r="AT130" s="2206">
        <v>43622</v>
      </c>
      <c r="AU130" s="2199">
        <v>66.2</v>
      </c>
      <c r="AV130" s="2203">
        <v>80.5</v>
      </c>
    </row>
    <row r="131" spans="1:48" ht="16" thickBot="1">
      <c r="A131" s="761" t="s">
        <v>479</v>
      </c>
      <c r="C131" s="762">
        <v>41524</v>
      </c>
      <c r="D131" s="761">
        <v>74.8</v>
      </c>
      <c r="F131" s="761">
        <v>36.1</v>
      </c>
      <c r="G131" s="710">
        <f t="shared" si="28"/>
        <v>40.432000000000002</v>
      </c>
      <c r="I131" s="761">
        <v>6.24</v>
      </c>
      <c r="L131" s="761">
        <v>36.1</v>
      </c>
      <c r="M131" s="761">
        <v>6.24</v>
      </c>
      <c r="AG131" s="1238">
        <v>43592</v>
      </c>
      <c r="AH131" s="775">
        <v>1879</v>
      </c>
      <c r="AI131" s="714">
        <v>108</v>
      </c>
      <c r="AT131" s="2206">
        <v>43623</v>
      </c>
      <c r="AU131" s="2199">
        <v>66.599999999999994</v>
      </c>
      <c r="AV131" s="2203">
        <v>78</v>
      </c>
    </row>
    <row r="132" spans="1:48" ht="16" thickBot="1">
      <c r="A132" s="761" t="s">
        <v>479</v>
      </c>
      <c r="C132" s="762">
        <v>41525</v>
      </c>
      <c r="D132" s="761">
        <v>73</v>
      </c>
      <c r="F132" s="761">
        <v>36.299999999999997</v>
      </c>
      <c r="G132" s="710">
        <f t="shared" si="28"/>
        <v>40.655999999999999</v>
      </c>
      <c r="I132" s="761">
        <v>6.24</v>
      </c>
      <c r="L132" s="761">
        <v>36.299999999999997</v>
      </c>
      <c r="M132" s="761">
        <v>6.24</v>
      </c>
      <c r="AG132" s="1238">
        <v>43593</v>
      </c>
      <c r="AH132" s="775">
        <v>1893</v>
      </c>
      <c r="AI132" s="714">
        <v>108</v>
      </c>
      <c r="AT132" s="2206">
        <v>43624</v>
      </c>
      <c r="AU132" s="2199">
        <v>65.599999999999994</v>
      </c>
      <c r="AV132" s="2203">
        <v>79.3</v>
      </c>
    </row>
    <row r="133" spans="1:48" ht="16" thickBot="1">
      <c r="A133" s="761" t="s">
        <v>479</v>
      </c>
      <c r="C133" s="762">
        <v>41526</v>
      </c>
      <c r="D133" s="761">
        <v>66.099999999999994</v>
      </c>
      <c r="F133" s="761">
        <v>48</v>
      </c>
      <c r="G133" s="710">
        <f t="shared" si="28"/>
        <v>53.76</v>
      </c>
      <c r="I133" s="761">
        <v>6.31</v>
      </c>
      <c r="L133" s="761">
        <v>48</v>
      </c>
      <c r="M133" s="761">
        <v>6.31</v>
      </c>
      <c r="AG133" s="1238">
        <v>43594</v>
      </c>
      <c r="AH133" s="775">
        <v>1912</v>
      </c>
      <c r="AI133" s="714">
        <v>109</v>
      </c>
      <c r="AT133" s="2206">
        <v>43625</v>
      </c>
      <c r="AU133" s="2199">
        <v>49.9</v>
      </c>
      <c r="AV133" s="2203">
        <v>83.9</v>
      </c>
    </row>
    <row r="134" spans="1:48" ht="16" thickBot="1">
      <c r="A134" s="761" t="s">
        <v>479</v>
      </c>
      <c r="C134" s="762">
        <v>41527</v>
      </c>
      <c r="D134" s="761">
        <v>59.7</v>
      </c>
      <c r="F134" s="761">
        <v>132</v>
      </c>
      <c r="G134" s="710">
        <f t="shared" si="28"/>
        <v>147.84</v>
      </c>
      <c r="I134" s="761">
        <v>6.8</v>
      </c>
      <c r="L134" s="761">
        <v>132</v>
      </c>
      <c r="M134" s="761">
        <v>6.8</v>
      </c>
      <c r="AG134" s="1238">
        <v>43595</v>
      </c>
      <c r="AH134" s="775">
        <v>1899</v>
      </c>
      <c r="AI134" s="714">
        <v>108</v>
      </c>
      <c r="AT134" s="2206">
        <v>43626</v>
      </c>
      <c r="AU134" s="2199">
        <v>60.9</v>
      </c>
      <c r="AV134" s="2203">
        <v>79.5</v>
      </c>
    </row>
    <row r="135" spans="1:48" ht="16" thickBot="1">
      <c r="A135" s="761" t="s">
        <v>479</v>
      </c>
      <c r="C135" s="762">
        <v>41528</v>
      </c>
      <c r="D135" s="761">
        <v>60.5</v>
      </c>
      <c r="F135" s="761">
        <v>391</v>
      </c>
      <c r="G135" s="710">
        <f t="shared" si="28"/>
        <v>437.92</v>
      </c>
      <c r="I135" s="761">
        <v>7.34</v>
      </c>
      <c r="L135" s="761">
        <v>391</v>
      </c>
      <c r="M135" s="761">
        <v>7.34</v>
      </c>
      <c r="AG135" s="1238">
        <v>43596</v>
      </c>
      <c r="AH135" s="775">
        <v>1901</v>
      </c>
      <c r="AI135" s="714">
        <v>109</v>
      </c>
      <c r="AT135" s="2206">
        <v>43627</v>
      </c>
      <c r="AU135" s="2199">
        <v>64.5</v>
      </c>
      <c r="AV135" s="2203">
        <v>71.3</v>
      </c>
    </row>
    <row r="136" spans="1:48" ht="16" thickBot="1">
      <c r="A136" s="761" t="s">
        <v>479</v>
      </c>
      <c r="C136" s="762">
        <v>41529</v>
      </c>
      <c r="D136" s="761">
        <v>59.5</v>
      </c>
      <c r="F136" s="761">
        <v>405</v>
      </c>
      <c r="G136" s="710">
        <f t="shared" si="28"/>
        <v>453.6</v>
      </c>
      <c r="I136" s="761">
        <v>7.68</v>
      </c>
      <c r="L136" s="761">
        <v>405</v>
      </c>
      <c r="M136" s="761">
        <v>7.68</v>
      </c>
      <c r="AG136" s="1238">
        <v>43597</v>
      </c>
      <c r="AH136" s="775">
        <v>1899</v>
      </c>
      <c r="AI136" s="714">
        <v>108</v>
      </c>
      <c r="AT136" s="2206">
        <v>43628</v>
      </c>
      <c r="AU136" s="2199">
        <v>61.9</v>
      </c>
      <c r="AV136" s="2203">
        <v>69.8</v>
      </c>
    </row>
    <row r="137" spans="1:48" ht="16" thickBot="1">
      <c r="A137" s="761" t="s">
        <v>479</v>
      </c>
      <c r="C137" s="762">
        <v>41530</v>
      </c>
      <c r="D137" s="761">
        <v>61.9</v>
      </c>
      <c r="F137" s="761">
        <v>1100</v>
      </c>
      <c r="G137" s="710">
        <f t="shared" si="28"/>
        <v>1232</v>
      </c>
      <c r="I137" s="761">
        <v>8.6300000000000008</v>
      </c>
      <c r="L137" s="761">
        <v>845.3</v>
      </c>
      <c r="M137" s="761">
        <v>7.91</v>
      </c>
      <c r="AG137" s="1238">
        <v>43598</v>
      </c>
      <c r="AH137" s="775">
        <v>1898</v>
      </c>
      <c r="AI137" s="714">
        <v>108</v>
      </c>
      <c r="AT137" s="2206">
        <v>43629</v>
      </c>
      <c r="AU137" s="2199">
        <v>68.3</v>
      </c>
      <c r="AV137" s="2203">
        <v>70.5</v>
      </c>
    </row>
    <row r="138" spans="1:48" ht="16" thickBot="1">
      <c r="A138" s="761" t="s">
        <v>479</v>
      </c>
      <c r="C138" s="762">
        <v>41531</v>
      </c>
      <c r="D138" s="761">
        <v>62.3</v>
      </c>
      <c r="F138" s="761">
        <v>900</v>
      </c>
      <c r="G138" s="710">
        <f t="shared" si="28"/>
        <v>1008</v>
      </c>
      <c r="I138" s="761">
        <v>8.17</v>
      </c>
      <c r="L138" s="761">
        <v>747</v>
      </c>
      <c r="M138" s="761">
        <v>7.75</v>
      </c>
      <c r="AG138" s="1238">
        <v>43599</v>
      </c>
      <c r="AH138" s="775">
        <v>1902</v>
      </c>
      <c r="AI138" s="714">
        <v>108</v>
      </c>
      <c r="AT138" s="2206">
        <v>43630</v>
      </c>
      <c r="AU138" s="2199">
        <v>67.900000000000006</v>
      </c>
      <c r="AV138" s="2203">
        <v>77.400000000000006</v>
      </c>
    </row>
    <row r="139" spans="1:48" ht="16" thickBot="1">
      <c r="A139" s="761" t="s">
        <v>479</v>
      </c>
      <c r="C139" s="762">
        <v>41532</v>
      </c>
      <c r="D139" s="761">
        <v>56.5</v>
      </c>
      <c r="F139" s="761">
        <v>950</v>
      </c>
      <c r="G139" s="710">
        <f t="shared" si="28"/>
        <v>1064</v>
      </c>
      <c r="I139" s="761">
        <v>8.26</v>
      </c>
      <c r="L139" s="761">
        <v>551</v>
      </c>
      <c r="M139" s="761">
        <v>7.58</v>
      </c>
      <c r="AG139" s="1238">
        <v>43600</v>
      </c>
      <c r="AH139" s="775">
        <v>1909</v>
      </c>
      <c r="AI139" s="714">
        <v>109</v>
      </c>
      <c r="AT139" s="2206">
        <v>43631</v>
      </c>
      <c r="AU139" s="2199">
        <v>64</v>
      </c>
      <c r="AV139" s="2203">
        <v>77.5</v>
      </c>
    </row>
    <row r="140" spans="1:48" ht="16" thickBot="1">
      <c r="A140" s="761" t="s">
        <v>479</v>
      </c>
      <c r="C140" s="762">
        <v>41530</v>
      </c>
      <c r="D140" s="761">
        <v>61.9</v>
      </c>
      <c r="F140" s="761">
        <v>1100</v>
      </c>
      <c r="G140" s="710">
        <f t="shared" si="28"/>
        <v>1232</v>
      </c>
      <c r="I140" s="761">
        <v>8.6300000000000008</v>
      </c>
      <c r="L140" s="761">
        <v>427</v>
      </c>
      <c r="M140" s="761">
        <v>7.44</v>
      </c>
      <c r="AG140" s="1238">
        <v>43601</v>
      </c>
      <c r="AH140" s="775">
        <v>1909</v>
      </c>
      <c r="AI140" s="714">
        <v>109</v>
      </c>
      <c r="AT140" s="2206">
        <v>43632</v>
      </c>
      <c r="AU140" s="2199">
        <v>62.7</v>
      </c>
      <c r="AV140" s="2203">
        <v>85.6</v>
      </c>
    </row>
    <row r="141" spans="1:48" ht="16" thickBot="1">
      <c r="A141" s="761" t="s">
        <v>479</v>
      </c>
      <c r="C141" s="762">
        <v>41531</v>
      </c>
      <c r="D141" s="761">
        <v>62.3</v>
      </c>
      <c r="F141" s="761">
        <v>900</v>
      </c>
      <c r="G141" s="710">
        <f t="shared" si="28"/>
        <v>1008</v>
      </c>
      <c r="I141" s="761">
        <v>8.17</v>
      </c>
      <c r="L141" s="761">
        <v>345</v>
      </c>
      <c r="M141" s="761">
        <v>7.32</v>
      </c>
      <c r="AG141" s="1238">
        <v>43602</v>
      </c>
      <c r="AH141" s="775">
        <v>1909</v>
      </c>
      <c r="AI141" s="714">
        <v>109</v>
      </c>
      <c r="AT141" s="2206">
        <v>43633</v>
      </c>
      <c r="AU141" s="2199">
        <v>58.5</v>
      </c>
      <c r="AV141" s="2203">
        <v>88</v>
      </c>
    </row>
    <row r="142" spans="1:48" ht="16" thickBot="1">
      <c r="A142" s="761" t="s">
        <v>479</v>
      </c>
      <c r="C142" s="762">
        <v>41532</v>
      </c>
      <c r="D142" s="761">
        <v>56.5</v>
      </c>
      <c r="F142" s="761">
        <v>950</v>
      </c>
      <c r="G142" s="710">
        <f t="shared" si="28"/>
        <v>1064</v>
      </c>
      <c r="I142" s="761">
        <v>8.26</v>
      </c>
      <c r="L142" s="761">
        <v>315</v>
      </c>
      <c r="M142" s="761">
        <v>7.27</v>
      </c>
      <c r="AG142" s="1238">
        <v>43603</v>
      </c>
      <c r="AH142" s="775">
        <v>1902</v>
      </c>
      <c r="AI142" s="714">
        <v>108</v>
      </c>
      <c r="AT142" s="2206">
        <v>43634</v>
      </c>
      <c r="AU142" s="2199">
        <v>58.6</v>
      </c>
      <c r="AV142" s="2203">
        <v>99.9</v>
      </c>
    </row>
    <row r="143" spans="1:48" ht="16" thickBot="1">
      <c r="A143" s="761" t="s">
        <v>479</v>
      </c>
      <c r="C143" s="762">
        <v>41533</v>
      </c>
      <c r="D143" s="761">
        <v>60.2</v>
      </c>
      <c r="F143" s="761">
        <v>1100</v>
      </c>
      <c r="G143" s="710">
        <f t="shared" si="28"/>
        <v>1232</v>
      </c>
      <c r="I143" s="761">
        <v>8.56</v>
      </c>
      <c r="L143" s="761">
        <v>248</v>
      </c>
      <c r="M143" s="761">
        <v>7.15</v>
      </c>
      <c r="AG143" s="1238">
        <v>43604</v>
      </c>
      <c r="AH143" s="775">
        <v>1895</v>
      </c>
      <c r="AI143" s="714">
        <v>108</v>
      </c>
      <c r="AT143" s="2206">
        <v>43635</v>
      </c>
      <c r="AU143" s="2199">
        <v>66.400000000000006</v>
      </c>
      <c r="AV143" s="2203">
        <v>90.5</v>
      </c>
    </row>
    <row r="144" spans="1:48" ht="16" thickBot="1">
      <c r="A144" s="761" t="s">
        <v>479</v>
      </c>
      <c r="C144" s="762">
        <v>41534</v>
      </c>
      <c r="D144" s="761">
        <v>66.900000000000006</v>
      </c>
      <c r="F144" s="761">
        <v>900</v>
      </c>
      <c r="G144" s="710">
        <f t="shared" si="28"/>
        <v>1008</v>
      </c>
      <c r="I144" s="761">
        <v>8.17</v>
      </c>
      <c r="L144" s="761">
        <v>216</v>
      </c>
      <c r="M144" s="761">
        <v>7.08</v>
      </c>
      <c r="AG144" s="1238">
        <v>43605</v>
      </c>
      <c r="AH144" s="775">
        <v>1895</v>
      </c>
      <c r="AI144" s="714">
        <v>108</v>
      </c>
      <c r="AT144" s="2206">
        <v>43636</v>
      </c>
      <c r="AU144" s="2199">
        <v>66.7</v>
      </c>
      <c r="AV144" s="2203">
        <v>88.6</v>
      </c>
    </row>
    <row r="145" spans="1:48" ht="16" thickBot="1">
      <c r="A145" s="761" t="s">
        <v>479</v>
      </c>
      <c r="C145" s="762">
        <v>41535</v>
      </c>
      <c r="D145" s="761">
        <v>68.2</v>
      </c>
      <c r="F145" s="761">
        <v>845.3</v>
      </c>
      <c r="G145" s="710">
        <f t="shared" si="28"/>
        <v>946.73599999999999</v>
      </c>
      <c r="I145" s="761">
        <v>7.91</v>
      </c>
      <c r="L145" s="761">
        <v>191</v>
      </c>
      <c r="M145" s="761">
        <v>7.02</v>
      </c>
      <c r="AG145" s="1238">
        <v>43606</v>
      </c>
      <c r="AH145" s="775">
        <v>1910</v>
      </c>
      <c r="AI145" s="714">
        <v>109</v>
      </c>
      <c r="AT145" s="2206">
        <v>43637</v>
      </c>
      <c r="AU145" s="2199">
        <v>55.9</v>
      </c>
      <c r="AV145" s="2203">
        <v>89.4</v>
      </c>
    </row>
    <row r="146" spans="1:48" ht="16" thickBot="1">
      <c r="A146" s="761" t="s">
        <v>479</v>
      </c>
      <c r="C146" s="762">
        <v>41536</v>
      </c>
      <c r="D146" s="761">
        <v>57.5</v>
      </c>
      <c r="F146" s="761">
        <v>747</v>
      </c>
      <c r="G146" s="710">
        <f t="shared" si="28"/>
        <v>836.64</v>
      </c>
      <c r="I146" s="761">
        <v>7.75</v>
      </c>
      <c r="L146" s="761">
        <v>188</v>
      </c>
      <c r="M146" s="761">
        <v>6.98</v>
      </c>
      <c r="AG146" s="1238">
        <v>43607</v>
      </c>
      <c r="AH146" s="775">
        <v>1900</v>
      </c>
      <c r="AI146" s="714">
        <v>109</v>
      </c>
      <c r="AT146" s="2206">
        <v>43638</v>
      </c>
      <c r="AU146" s="2199">
        <v>50.8</v>
      </c>
      <c r="AV146" s="2203">
        <v>110</v>
      </c>
    </row>
    <row r="147" spans="1:48" ht="16" thickBot="1">
      <c r="A147" s="761" t="s">
        <v>479</v>
      </c>
      <c r="C147" s="762">
        <v>41537</v>
      </c>
      <c r="D147" s="761">
        <v>57.6</v>
      </c>
      <c r="F147" s="761">
        <v>551</v>
      </c>
      <c r="G147" s="710">
        <f t="shared" si="28"/>
        <v>617.12</v>
      </c>
      <c r="I147" s="761">
        <v>7.58</v>
      </c>
      <c r="L147" s="761">
        <v>183</v>
      </c>
      <c r="M147" s="761">
        <v>6.95</v>
      </c>
      <c r="AG147" s="1238">
        <v>43608</v>
      </c>
      <c r="AH147" s="775">
        <v>1893</v>
      </c>
      <c r="AI147" s="714">
        <v>108</v>
      </c>
      <c r="AT147" s="2206">
        <v>43639</v>
      </c>
      <c r="AU147" s="2199">
        <v>52.5</v>
      </c>
      <c r="AV147" s="2203">
        <v>113</v>
      </c>
    </row>
    <row r="148" spans="1:48" ht="16" thickBot="1">
      <c r="A148" s="761" t="s">
        <v>479</v>
      </c>
      <c r="C148" s="762">
        <v>41538</v>
      </c>
      <c r="D148" s="761">
        <v>65.099999999999994</v>
      </c>
      <c r="F148" s="761">
        <v>427</v>
      </c>
      <c r="G148" s="710">
        <f t="shared" si="28"/>
        <v>478.24</v>
      </c>
      <c r="I148" s="761">
        <v>7.44</v>
      </c>
      <c r="L148" s="761">
        <v>160</v>
      </c>
      <c r="M148" s="761">
        <v>6.88</v>
      </c>
      <c r="AG148" s="1238">
        <v>43609</v>
      </c>
      <c r="AH148" s="775">
        <v>1888</v>
      </c>
      <c r="AI148" s="714">
        <v>108</v>
      </c>
      <c r="AT148" s="2206">
        <v>43640</v>
      </c>
      <c r="AU148" s="2199">
        <v>63.2</v>
      </c>
      <c r="AV148" s="2203">
        <v>93.3</v>
      </c>
    </row>
    <row r="149" spans="1:48" ht="16" thickBot="1">
      <c r="A149" s="761" t="s">
        <v>479</v>
      </c>
      <c r="C149" s="762">
        <v>41539</v>
      </c>
      <c r="D149" s="761">
        <v>63.5</v>
      </c>
      <c r="F149" s="761">
        <v>345</v>
      </c>
      <c r="G149" s="710">
        <f t="shared" si="28"/>
        <v>386.4</v>
      </c>
      <c r="I149" s="761">
        <v>7.32</v>
      </c>
      <c r="L149" s="761">
        <v>146</v>
      </c>
      <c r="M149" s="761">
        <v>6.84</v>
      </c>
      <c r="AG149" s="1238">
        <v>43610</v>
      </c>
      <c r="AH149" s="775">
        <v>1888</v>
      </c>
      <c r="AI149" s="714">
        <v>108</v>
      </c>
      <c r="AT149" s="2206">
        <v>43641</v>
      </c>
      <c r="AU149" s="2199">
        <v>66.7</v>
      </c>
      <c r="AV149" s="2203">
        <v>85.7</v>
      </c>
    </row>
    <row r="150" spans="1:48" ht="16" thickBot="1">
      <c r="A150" s="761" t="s">
        <v>479</v>
      </c>
      <c r="C150" s="762">
        <v>41540</v>
      </c>
      <c r="D150" s="761">
        <v>56.1</v>
      </c>
      <c r="F150" s="761">
        <v>315</v>
      </c>
      <c r="G150" s="710">
        <f t="shared" si="28"/>
        <v>352.8</v>
      </c>
      <c r="I150" s="761">
        <v>7.27</v>
      </c>
      <c r="L150" s="761">
        <v>1000</v>
      </c>
      <c r="M150" s="761">
        <v>8</v>
      </c>
      <c r="AG150" s="1238">
        <v>43611</v>
      </c>
      <c r="AH150" s="775">
        <v>1897</v>
      </c>
      <c r="AI150" s="714">
        <v>108</v>
      </c>
      <c r="AT150" s="2206">
        <v>43642</v>
      </c>
      <c r="AU150" s="2199">
        <v>70.099999999999994</v>
      </c>
      <c r="AV150" s="2203">
        <v>80.599999999999994</v>
      </c>
    </row>
    <row r="151" spans="1:48" ht="16" thickBot="1">
      <c r="A151" s="761" t="s">
        <v>479</v>
      </c>
      <c r="C151" s="762">
        <v>41541</v>
      </c>
      <c r="D151" s="761">
        <v>58.4</v>
      </c>
      <c r="F151" s="761">
        <v>248</v>
      </c>
      <c r="G151" s="710">
        <f t="shared" si="28"/>
        <v>277.76</v>
      </c>
      <c r="I151" s="761">
        <v>7.15</v>
      </c>
      <c r="L151" s="761">
        <v>1800</v>
      </c>
      <c r="M151" s="761">
        <v>10</v>
      </c>
      <c r="P151" s="763" t="s">
        <v>480</v>
      </c>
      <c r="AG151" s="1238">
        <v>43612</v>
      </c>
      <c r="AH151" s="775">
        <v>1916</v>
      </c>
      <c r="AI151" s="714">
        <v>109</v>
      </c>
      <c r="AT151" s="2206">
        <v>43643</v>
      </c>
      <c r="AU151" s="2199">
        <v>73.599999999999994</v>
      </c>
      <c r="AV151" s="2203">
        <v>76</v>
      </c>
    </row>
    <row r="152" spans="1:48" ht="16" thickBot="1">
      <c r="A152" s="761" t="s">
        <v>479</v>
      </c>
      <c r="C152" s="762">
        <v>41542</v>
      </c>
      <c r="D152" s="761">
        <v>63.5</v>
      </c>
      <c r="F152" s="761">
        <v>216</v>
      </c>
      <c r="G152" s="710">
        <f t="shared" si="28"/>
        <v>241.92</v>
      </c>
      <c r="I152" s="761">
        <v>7.08</v>
      </c>
      <c r="AG152" s="1238">
        <v>43613</v>
      </c>
      <c r="AH152" s="775">
        <v>1926</v>
      </c>
      <c r="AI152" s="714">
        <v>109</v>
      </c>
      <c r="AT152" s="2206">
        <v>43644</v>
      </c>
      <c r="AU152" s="2199">
        <v>77.099999999999994</v>
      </c>
      <c r="AV152" s="2203">
        <v>73.2</v>
      </c>
    </row>
    <row r="153" spans="1:48" ht="16" thickBot="1">
      <c r="A153" s="761" t="s">
        <v>479</v>
      </c>
      <c r="C153" s="762">
        <v>41543</v>
      </c>
      <c r="D153" s="761">
        <v>55.3</v>
      </c>
      <c r="F153" s="761">
        <v>191</v>
      </c>
      <c r="G153" s="710">
        <f t="shared" si="28"/>
        <v>213.92</v>
      </c>
      <c r="I153" s="761">
        <v>7.02</v>
      </c>
      <c r="AG153" s="1238">
        <v>43614</v>
      </c>
      <c r="AH153" s="775">
        <v>1923</v>
      </c>
      <c r="AI153" s="714">
        <v>109</v>
      </c>
      <c r="AT153" s="2206">
        <v>43645</v>
      </c>
      <c r="AU153" s="2199">
        <v>76.099999999999994</v>
      </c>
      <c r="AV153" s="2203">
        <v>75</v>
      </c>
    </row>
    <row r="154" spans="1:48" ht="16" thickBot="1">
      <c r="A154" s="761" t="s">
        <v>479</v>
      </c>
      <c r="C154" s="762">
        <v>41544</v>
      </c>
      <c r="D154" s="761">
        <v>46.9</v>
      </c>
      <c r="F154" s="761">
        <v>188</v>
      </c>
      <c r="G154" s="710">
        <f t="shared" si="28"/>
        <v>210.56</v>
      </c>
      <c r="I154" s="761">
        <v>6.98</v>
      </c>
      <c r="AG154" s="1238">
        <v>43615</v>
      </c>
      <c r="AH154" s="775">
        <v>1920</v>
      </c>
      <c r="AI154" s="714">
        <v>109</v>
      </c>
      <c r="AT154" s="2206">
        <v>43646</v>
      </c>
      <c r="AU154" s="2199">
        <v>71.599999999999994</v>
      </c>
      <c r="AV154" s="2203">
        <v>82.5</v>
      </c>
    </row>
    <row r="155" spans="1:48" ht="16" thickBot="1">
      <c r="A155" s="761" t="s">
        <v>479</v>
      </c>
      <c r="C155" s="762">
        <v>41545</v>
      </c>
      <c r="D155" s="761">
        <v>48.8</v>
      </c>
      <c r="F155" s="761">
        <v>183</v>
      </c>
      <c r="G155" s="710">
        <f t="shared" si="28"/>
        <v>204.96</v>
      </c>
      <c r="I155" s="761">
        <v>6.95</v>
      </c>
      <c r="AG155" s="1238">
        <v>43616</v>
      </c>
      <c r="AH155" s="775">
        <v>1917</v>
      </c>
      <c r="AI155" s="714">
        <v>109</v>
      </c>
      <c r="AT155" s="2206">
        <v>43647</v>
      </c>
      <c r="AU155" s="2199">
        <v>68.2</v>
      </c>
      <c r="AV155" s="2203">
        <v>91.7</v>
      </c>
    </row>
    <row r="156" spans="1:48" ht="16" thickBot="1">
      <c r="A156" s="761" t="s">
        <v>479</v>
      </c>
      <c r="C156" s="762">
        <v>41546</v>
      </c>
      <c r="D156" s="761">
        <v>57.3</v>
      </c>
      <c r="F156" s="761">
        <v>160</v>
      </c>
      <c r="G156" s="710">
        <f t="shared" si="28"/>
        <v>179.2</v>
      </c>
      <c r="I156" s="761">
        <v>6.88</v>
      </c>
      <c r="AG156" s="1238">
        <v>43617</v>
      </c>
      <c r="AH156" s="775">
        <v>1917</v>
      </c>
      <c r="AI156" s="714">
        <v>109</v>
      </c>
      <c r="AT156" s="2206">
        <v>43648</v>
      </c>
      <c r="AU156" s="2199">
        <v>68.2</v>
      </c>
      <c r="AV156" s="2203">
        <v>91.3</v>
      </c>
    </row>
    <row r="157" spans="1:48" ht="16" thickBot="1">
      <c r="A157" s="761" t="s">
        <v>479</v>
      </c>
      <c r="C157" s="762">
        <v>41547</v>
      </c>
      <c r="D157" s="761">
        <v>64</v>
      </c>
      <c r="F157" s="761">
        <v>146</v>
      </c>
      <c r="G157" s="710">
        <f t="shared" si="28"/>
        <v>163.52000000000001</v>
      </c>
      <c r="I157" s="761">
        <v>6.84</v>
      </c>
      <c r="AG157" s="1238">
        <v>43618</v>
      </c>
      <c r="AH157" s="775">
        <v>1922</v>
      </c>
      <c r="AI157" s="714">
        <v>109</v>
      </c>
      <c r="AT157" s="2206">
        <v>43649</v>
      </c>
      <c r="AU157" s="2199">
        <v>73.2</v>
      </c>
      <c r="AV157" s="2203">
        <v>86.2</v>
      </c>
    </row>
    <row r="158" spans="1:48" ht="15" thickBot="1">
      <c r="F158" s="764">
        <f>AVERAGE(F125:F157)</f>
        <v>417.37575757575758</v>
      </c>
      <c r="G158" s="764">
        <f>AVERAGE(G125:G157)</f>
        <v>467.4608484848485</v>
      </c>
      <c r="AG158" s="1238">
        <v>43619</v>
      </c>
      <c r="AH158" s="775">
        <v>1928</v>
      </c>
      <c r="AI158" s="714">
        <v>109</v>
      </c>
      <c r="AT158" s="2206">
        <v>43650</v>
      </c>
      <c r="AU158" s="2199">
        <v>69.5</v>
      </c>
      <c r="AV158" s="2203">
        <v>78.900000000000006</v>
      </c>
    </row>
    <row r="159" spans="1:48" ht="15" thickBot="1">
      <c r="AG159" s="1238">
        <v>43620</v>
      </c>
      <c r="AH159" s="775">
        <v>1924</v>
      </c>
      <c r="AI159" s="714">
        <v>109</v>
      </c>
      <c r="AT159" s="2206">
        <v>43651</v>
      </c>
      <c r="AU159" s="2199">
        <v>65.5</v>
      </c>
      <c r="AV159" s="2203">
        <v>79.099999999999994</v>
      </c>
    </row>
    <row r="160" spans="1:48" ht="15" thickBot="1">
      <c r="AG160" s="1238">
        <v>43621</v>
      </c>
      <c r="AH160" s="775">
        <v>1923</v>
      </c>
      <c r="AI160" s="714">
        <v>109</v>
      </c>
      <c r="AT160" s="2206">
        <v>43652</v>
      </c>
      <c r="AU160" s="2199">
        <v>66.599999999999994</v>
      </c>
      <c r="AV160" s="2203">
        <v>85.2</v>
      </c>
    </row>
    <row r="161" spans="1:48" ht="15" thickBot="1">
      <c r="A161" s="763"/>
      <c r="AG161" s="1238">
        <v>43622</v>
      </c>
      <c r="AH161" s="775">
        <v>1937</v>
      </c>
      <c r="AI161" s="714">
        <v>110</v>
      </c>
      <c r="AT161" s="2206">
        <v>43653</v>
      </c>
      <c r="AU161" s="2199">
        <v>70</v>
      </c>
      <c r="AV161" s="2203">
        <v>78.400000000000006</v>
      </c>
    </row>
    <row r="162" spans="1:48" ht="14.4" customHeight="1" thickBot="1">
      <c r="A162" s="2263" t="s">
        <v>481</v>
      </c>
      <c r="B162" s="765" t="s">
        <v>71</v>
      </c>
      <c r="C162" s="765" t="s">
        <v>72</v>
      </c>
      <c r="D162" s="1326" t="s">
        <v>73</v>
      </c>
      <c r="H162" s="2272" t="s">
        <v>494</v>
      </c>
      <c r="I162" s="2272"/>
      <c r="J162" s="2272"/>
      <c r="K162" s="2272"/>
      <c r="L162" s="2272"/>
      <c r="M162" s="2272"/>
      <c r="N162" s="2272"/>
      <c r="O162" s="2272"/>
      <c r="P162" s="2272"/>
      <c r="Q162" s="2272"/>
      <c r="R162" s="2272"/>
      <c r="S162" s="2272"/>
      <c r="T162" s="2272"/>
      <c r="U162" s="2272"/>
      <c r="AG162" s="1238">
        <v>43623</v>
      </c>
      <c r="AH162" s="775">
        <v>1939</v>
      </c>
      <c r="AI162" s="714">
        <v>110</v>
      </c>
      <c r="AT162" s="2206">
        <v>43654</v>
      </c>
      <c r="AU162" s="2199">
        <v>68.7</v>
      </c>
      <c r="AV162" s="2203">
        <v>74.5</v>
      </c>
    </row>
    <row r="163" spans="1:48" ht="15" thickBot="1">
      <c r="A163" s="2264"/>
      <c r="B163" s="766">
        <v>2013</v>
      </c>
      <c r="C163" s="766">
        <v>2013</v>
      </c>
      <c r="D163" s="1327">
        <v>2013</v>
      </c>
      <c r="H163" s="2269" t="s">
        <v>495</v>
      </c>
      <c r="I163" s="2270"/>
      <c r="J163" s="2270"/>
      <c r="K163" s="2270"/>
      <c r="L163" s="2270"/>
      <c r="M163" s="2270"/>
      <c r="N163" s="2270"/>
      <c r="O163" s="2270"/>
      <c r="P163" s="2270"/>
      <c r="Q163" s="2270"/>
      <c r="R163" s="2270"/>
      <c r="S163" s="2270"/>
      <c r="T163" s="2270"/>
      <c r="U163" s="2271"/>
      <c r="AG163" s="1238">
        <v>43624</v>
      </c>
      <c r="AH163" s="775">
        <v>1938</v>
      </c>
      <c r="AI163" s="714">
        <v>110</v>
      </c>
      <c r="AT163" s="2206">
        <v>43655</v>
      </c>
      <c r="AU163" s="2199">
        <v>71.099999999999994</v>
      </c>
      <c r="AV163" s="2203">
        <v>71.599999999999994</v>
      </c>
    </row>
    <row r="164" spans="1:48" ht="15" thickBot="1">
      <c r="A164" s="767">
        <v>1</v>
      </c>
      <c r="B164" s="768"/>
      <c r="C164" s="769">
        <v>48</v>
      </c>
      <c r="D164" s="769">
        <v>142</v>
      </c>
      <c r="H164" s="2263" t="s">
        <v>481</v>
      </c>
      <c r="I164" s="765" t="s">
        <v>74</v>
      </c>
      <c r="J164" s="765" t="s">
        <v>75</v>
      </c>
      <c r="K164" s="765" t="s">
        <v>64</v>
      </c>
      <c r="L164" s="765" t="s">
        <v>65</v>
      </c>
      <c r="M164" s="765" t="s">
        <v>66</v>
      </c>
      <c r="N164" s="765" t="s">
        <v>67</v>
      </c>
      <c r="O164" s="765" t="s">
        <v>68</v>
      </c>
      <c r="P164" s="765" t="s">
        <v>69</v>
      </c>
      <c r="Q164" s="765" t="s">
        <v>70</v>
      </c>
      <c r="R164" s="765" t="s">
        <v>71</v>
      </c>
      <c r="S164" s="765" t="s">
        <v>72</v>
      </c>
      <c r="T164" s="765" t="s">
        <v>73</v>
      </c>
      <c r="U164" s="765" t="s">
        <v>74</v>
      </c>
      <c r="AG164" s="1238">
        <v>43625</v>
      </c>
      <c r="AH164" s="775">
        <v>1938</v>
      </c>
      <c r="AI164" s="714">
        <v>110</v>
      </c>
      <c r="AT164" s="2206">
        <v>43656</v>
      </c>
      <c r="AU164" s="2199">
        <v>69.8</v>
      </c>
      <c r="AV164" s="2203">
        <v>65.8</v>
      </c>
    </row>
    <row r="165" spans="1:48" ht="15" thickBot="1">
      <c r="A165" s="767">
        <v>2</v>
      </c>
      <c r="B165" s="768"/>
      <c r="C165" s="769">
        <v>48</v>
      </c>
      <c r="D165" s="769">
        <v>133</v>
      </c>
      <c r="H165" s="2264"/>
      <c r="I165" s="766">
        <v>2012</v>
      </c>
      <c r="J165" s="766">
        <v>2012</v>
      </c>
      <c r="K165" s="766">
        <v>2013</v>
      </c>
      <c r="L165" s="766">
        <v>2013</v>
      </c>
      <c r="M165" s="766">
        <v>2013</v>
      </c>
      <c r="N165" s="766">
        <v>2013</v>
      </c>
      <c r="O165" s="766">
        <v>2013</v>
      </c>
      <c r="P165" s="766">
        <v>2013</v>
      </c>
      <c r="Q165" s="766">
        <v>2013</v>
      </c>
      <c r="R165" s="766">
        <v>2013</v>
      </c>
      <c r="S165" s="766">
        <v>2013</v>
      </c>
      <c r="T165" s="766">
        <v>2013</v>
      </c>
      <c r="U165" s="766">
        <v>2013</v>
      </c>
      <c r="AG165" s="1238">
        <v>43626</v>
      </c>
      <c r="AH165" s="775">
        <v>1939</v>
      </c>
      <c r="AI165" s="714">
        <v>110</v>
      </c>
      <c r="AT165" s="2206">
        <v>43657</v>
      </c>
      <c r="AU165" s="2199">
        <v>77.099999999999994</v>
      </c>
      <c r="AV165" s="2203">
        <v>63.9</v>
      </c>
    </row>
    <row r="166" spans="1:48" ht="16.5" thickBot="1">
      <c r="A166" s="767">
        <v>3</v>
      </c>
      <c r="B166" s="768"/>
      <c r="C166" s="769">
        <v>46</v>
      </c>
      <c r="D166" s="769">
        <v>124</v>
      </c>
      <c r="H166" s="770">
        <v>1</v>
      </c>
      <c r="I166" s="768"/>
      <c r="J166" s="769" t="s">
        <v>1050</v>
      </c>
      <c r="K166" s="769" t="s">
        <v>1051</v>
      </c>
      <c r="L166" s="769" t="s">
        <v>1052</v>
      </c>
      <c r="M166" s="769" t="s">
        <v>1053</v>
      </c>
      <c r="N166" s="769" t="s">
        <v>1053</v>
      </c>
      <c r="O166" s="769" t="s">
        <v>1054</v>
      </c>
      <c r="P166" s="769" t="s">
        <v>1055</v>
      </c>
      <c r="Q166" s="769" t="s">
        <v>1056</v>
      </c>
      <c r="R166" s="769" t="s">
        <v>1057</v>
      </c>
      <c r="S166" s="769" t="s">
        <v>1058</v>
      </c>
      <c r="T166" s="769" t="s">
        <v>1059</v>
      </c>
      <c r="U166" s="769" t="s">
        <v>1060</v>
      </c>
      <c r="AB166" s="771"/>
      <c r="AC166" s="772"/>
      <c r="AD166" s="773"/>
      <c r="AG166" s="1238">
        <v>43627</v>
      </c>
      <c r="AH166" s="775">
        <v>1929</v>
      </c>
      <c r="AI166" s="714">
        <v>109</v>
      </c>
      <c r="AT166" s="2206">
        <v>43658</v>
      </c>
      <c r="AU166" s="2199">
        <v>76.7</v>
      </c>
      <c r="AV166" s="2203">
        <v>61.5</v>
      </c>
    </row>
    <row r="167" spans="1:48" ht="16.5" thickBot="1">
      <c r="A167" s="767">
        <v>4</v>
      </c>
      <c r="B167" s="768"/>
      <c r="C167" s="769">
        <v>46</v>
      </c>
      <c r="D167" s="769">
        <v>133</v>
      </c>
      <c r="H167" s="770">
        <v>2</v>
      </c>
      <c r="I167" s="768"/>
      <c r="J167" s="769" t="s">
        <v>1061</v>
      </c>
      <c r="K167" s="769" t="s">
        <v>1062</v>
      </c>
      <c r="L167" s="769" t="s">
        <v>1063</v>
      </c>
      <c r="M167" s="769" t="s">
        <v>1053</v>
      </c>
      <c r="N167" s="769" t="s">
        <v>1064</v>
      </c>
      <c r="O167" s="769" t="s">
        <v>1056</v>
      </c>
      <c r="P167" s="769" t="s">
        <v>1065</v>
      </c>
      <c r="Q167" s="769" t="s">
        <v>1066</v>
      </c>
      <c r="R167" s="769" t="s">
        <v>1057</v>
      </c>
      <c r="S167" s="769" t="s">
        <v>1058</v>
      </c>
      <c r="T167" s="769" t="s">
        <v>1067</v>
      </c>
      <c r="U167" s="769" t="s">
        <v>1068</v>
      </c>
      <c r="AB167" s="774"/>
      <c r="AC167" s="775"/>
      <c r="AD167" s="714"/>
      <c r="AG167" s="1238">
        <v>43628</v>
      </c>
      <c r="AH167" s="775">
        <v>1922</v>
      </c>
      <c r="AI167" s="714">
        <v>109</v>
      </c>
      <c r="AT167" s="2206">
        <v>43659</v>
      </c>
      <c r="AU167" s="2199">
        <v>74.099999999999994</v>
      </c>
      <c r="AV167" s="2203">
        <v>59.6</v>
      </c>
    </row>
    <row r="168" spans="1:48" ht="16.5" thickBot="1">
      <c r="A168" s="767">
        <v>5</v>
      </c>
      <c r="B168" s="768"/>
      <c r="C168" s="769">
        <v>45</v>
      </c>
      <c r="D168" s="769">
        <v>118</v>
      </c>
      <c r="H168" s="770">
        <v>3</v>
      </c>
      <c r="I168" s="768"/>
      <c r="J168" s="769" t="s">
        <v>1069</v>
      </c>
      <c r="K168" s="769" t="s">
        <v>1051</v>
      </c>
      <c r="L168" s="769" t="s">
        <v>1063</v>
      </c>
      <c r="M168" s="769" t="s">
        <v>1053</v>
      </c>
      <c r="N168" s="769" t="s">
        <v>1064</v>
      </c>
      <c r="O168" s="769" t="s">
        <v>1056</v>
      </c>
      <c r="P168" s="769" t="s">
        <v>1058</v>
      </c>
      <c r="Q168" s="769" t="s">
        <v>1057</v>
      </c>
      <c r="R168" s="769" t="s">
        <v>1070</v>
      </c>
      <c r="S168" s="769" t="s">
        <v>1060</v>
      </c>
      <c r="T168" s="769" t="s">
        <v>1071</v>
      </c>
      <c r="U168" s="769" t="s">
        <v>1068</v>
      </c>
      <c r="AB168" s="774"/>
      <c r="AC168" s="775"/>
      <c r="AD168" s="714"/>
      <c r="AG168" s="1238">
        <v>43629</v>
      </c>
      <c r="AH168" s="775">
        <v>1921</v>
      </c>
      <c r="AI168" s="714">
        <v>109</v>
      </c>
      <c r="AT168" s="2206">
        <v>43660</v>
      </c>
      <c r="AU168" s="2199">
        <v>73.099999999999994</v>
      </c>
      <c r="AV168" s="2203">
        <v>66</v>
      </c>
    </row>
    <row r="169" spans="1:48" ht="16.5" thickBot="1">
      <c r="A169" s="767">
        <v>6</v>
      </c>
      <c r="B169" s="768"/>
      <c r="C169" s="769">
        <v>42</v>
      </c>
      <c r="D169" s="769">
        <v>112</v>
      </c>
      <c r="H169" s="770">
        <v>4</v>
      </c>
      <c r="I169" s="768"/>
      <c r="J169" s="769" t="s">
        <v>1072</v>
      </c>
      <c r="K169" s="769" t="s">
        <v>1073</v>
      </c>
      <c r="L169" s="769" t="s">
        <v>1074</v>
      </c>
      <c r="M169" s="769" t="s">
        <v>1053</v>
      </c>
      <c r="N169" s="769" t="s">
        <v>1075</v>
      </c>
      <c r="O169" s="769" t="s">
        <v>1076</v>
      </c>
      <c r="P169" s="769" t="s">
        <v>1077</v>
      </c>
      <c r="Q169" s="769" t="s">
        <v>1078</v>
      </c>
      <c r="R169" s="769" t="s">
        <v>1057</v>
      </c>
      <c r="S169" s="769" t="s">
        <v>1060</v>
      </c>
      <c r="T169" s="769" t="s">
        <v>1067</v>
      </c>
      <c r="U169" s="769" t="s">
        <v>1079</v>
      </c>
      <c r="AB169" s="774"/>
      <c r="AC169" s="775"/>
      <c r="AD169" s="714"/>
      <c r="AG169" s="1238">
        <v>43630</v>
      </c>
      <c r="AH169" s="775">
        <v>1924</v>
      </c>
      <c r="AI169" s="714">
        <v>109</v>
      </c>
      <c r="AT169" s="2206">
        <v>43661</v>
      </c>
      <c r="AU169" s="2199">
        <v>73.400000000000006</v>
      </c>
      <c r="AV169" s="2203">
        <v>69.3</v>
      </c>
    </row>
    <row r="170" spans="1:48" ht="16.5" thickBot="1">
      <c r="A170" s="767">
        <v>7</v>
      </c>
      <c r="B170" s="768"/>
      <c r="C170" s="769">
        <v>40</v>
      </c>
      <c r="D170" s="769">
        <v>106</v>
      </c>
      <c r="H170" s="770">
        <v>5</v>
      </c>
      <c r="I170" s="768"/>
      <c r="J170" s="769" t="s">
        <v>1072</v>
      </c>
      <c r="K170" s="769" t="s">
        <v>1051</v>
      </c>
      <c r="L170" s="769" t="s">
        <v>1052</v>
      </c>
      <c r="M170" s="769" t="s">
        <v>1053</v>
      </c>
      <c r="N170" s="769" t="s">
        <v>1080</v>
      </c>
      <c r="O170" s="769" t="s">
        <v>1056</v>
      </c>
      <c r="P170" s="769" t="s">
        <v>1081</v>
      </c>
      <c r="Q170" s="769" t="s">
        <v>1056</v>
      </c>
      <c r="R170" s="769" t="s">
        <v>1082</v>
      </c>
      <c r="S170" s="769" t="s">
        <v>1068</v>
      </c>
      <c r="T170" s="769" t="s">
        <v>1083</v>
      </c>
      <c r="U170" s="769" t="s">
        <v>1055</v>
      </c>
      <c r="AB170" s="774"/>
      <c r="AC170" s="775"/>
      <c r="AD170" s="714"/>
      <c r="AG170" s="1238">
        <v>43631</v>
      </c>
      <c r="AH170" s="775">
        <v>1925</v>
      </c>
      <c r="AI170" s="714">
        <v>109</v>
      </c>
      <c r="AT170" s="2206">
        <v>43662</v>
      </c>
      <c r="AU170" s="2199">
        <v>75.400000000000006</v>
      </c>
      <c r="AV170" s="2203">
        <v>67</v>
      </c>
    </row>
    <row r="171" spans="1:48" ht="16.5" thickBot="1">
      <c r="A171" s="767">
        <v>8</v>
      </c>
      <c r="B171" s="768"/>
      <c r="C171" s="769">
        <v>39</v>
      </c>
      <c r="D171" s="768"/>
      <c r="H171" s="770">
        <v>6</v>
      </c>
      <c r="I171" s="768"/>
      <c r="J171" s="769" t="s">
        <v>1084</v>
      </c>
      <c r="K171" s="769" t="s">
        <v>1085</v>
      </c>
      <c r="L171" s="769" t="s">
        <v>1086</v>
      </c>
      <c r="M171" s="769" t="s">
        <v>1053</v>
      </c>
      <c r="N171" s="769" t="s">
        <v>1075</v>
      </c>
      <c r="O171" s="769" t="s">
        <v>1070</v>
      </c>
      <c r="P171" s="769" t="s">
        <v>1077</v>
      </c>
      <c r="Q171" s="769" t="s">
        <v>1057</v>
      </c>
      <c r="R171" s="769" t="s">
        <v>1087</v>
      </c>
      <c r="S171" s="769" t="s">
        <v>1065</v>
      </c>
      <c r="T171" s="769" t="s">
        <v>1088</v>
      </c>
      <c r="U171" s="769" t="s">
        <v>1055</v>
      </c>
      <c r="AB171" s="774"/>
      <c r="AC171" s="775"/>
      <c r="AD171" s="714"/>
      <c r="AG171" s="1238">
        <v>43632</v>
      </c>
      <c r="AH171" s="775">
        <v>1931</v>
      </c>
      <c r="AI171" s="714">
        <v>109</v>
      </c>
      <c r="AT171" s="2206">
        <v>43663</v>
      </c>
      <c r="AU171" s="2199">
        <v>77.3</v>
      </c>
      <c r="AV171" s="2203">
        <v>59.7</v>
      </c>
    </row>
    <row r="172" spans="1:48" ht="16.5" thickBot="1">
      <c r="A172" s="767">
        <v>9</v>
      </c>
      <c r="B172" s="768"/>
      <c r="C172" s="769">
        <v>44</v>
      </c>
      <c r="D172" s="768"/>
      <c r="H172" s="770">
        <v>7</v>
      </c>
      <c r="I172" s="768"/>
      <c r="J172" s="769" t="s">
        <v>1089</v>
      </c>
      <c r="K172" s="769" t="s">
        <v>1090</v>
      </c>
      <c r="L172" s="769" t="s">
        <v>1086</v>
      </c>
      <c r="M172" s="769" t="s">
        <v>1053</v>
      </c>
      <c r="N172" s="769">
        <v>0.5</v>
      </c>
      <c r="O172" s="769" t="s">
        <v>1056</v>
      </c>
      <c r="P172" s="769" t="s">
        <v>1060</v>
      </c>
      <c r="Q172" s="769" t="s">
        <v>1070</v>
      </c>
      <c r="R172" s="769" t="s">
        <v>1076</v>
      </c>
      <c r="S172" s="769" t="s">
        <v>1055</v>
      </c>
      <c r="T172" s="769" t="s">
        <v>1091</v>
      </c>
      <c r="U172" s="769" t="s">
        <v>1079</v>
      </c>
      <c r="AB172" s="774"/>
      <c r="AC172" s="775"/>
      <c r="AD172" s="714"/>
      <c r="AG172" s="1238">
        <v>43633</v>
      </c>
      <c r="AH172" s="775">
        <v>1936</v>
      </c>
      <c r="AI172" s="714">
        <v>110</v>
      </c>
      <c r="AT172" s="2206">
        <v>43664</v>
      </c>
      <c r="AU172" s="2199">
        <v>79.3</v>
      </c>
      <c r="AV172" s="2203">
        <v>54.6</v>
      </c>
    </row>
    <row r="173" spans="1:48" ht="16.5" thickBot="1">
      <c r="A173" s="767">
        <v>10</v>
      </c>
      <c r="B173" s="768"/>
      <c r="C173" s="769">
        <v>155</v>
      </c>
      <c r="D173" s="768"/>
      <c r="H173" s="770">
        <v>8</v>
      </c>
      <c r="I173" s="768"/>
      <c r="J173" s="769" t="s">
        <v>1092</v>
      </c>
      <c r="K173" s="769" t="s">
        <v>1093</v>
      </c>
      <c r="L173" s="769" t="s">
        <v>1074</v>
      </c>
      <c r="M173" s="769" t="s">
        <v>1053</v>
      </c>
      <c r="N173" s="769">
        <v>0.5</v>
      </c>
      <c r="O173" s="769" t="s">
        <v>1094</v>
      </c>
      <c r="P173" s="769" t="s">
        <v>1095</v>
      </c>
      <c r="Q173" s="769" t="s">
        <v>1076</v>
      </c>
      <c r="R173" s="769" t="s">
        <v>1066</v>
      </c>
      <c r="S173" s="769" t="s">
        <v>1096</v>
      </c>
      <c r="T173" s="769" t="s">
        <v>1097</v>
      </c>
      <c r="U173" s="769" t="s">
        <v>1095</v>
      </c>
      <c r="AB173" s="774"/>
      <c r="AC173" s="775"/>
      <c r="AD173" s="714"/>
      <c r="AG173" s="1238">
        <v>43634</v>
      </c>
      <c r="AH173" s="775">
        <v>1946</v>
      </c>
      <c r="AI173" s="714">
        <v>110</v>
      </c>
      <c r="AT173" s="2206">
        <v>43665</v>
      </c>
      <c r="AU173" s="2199">
        <v>81.3</v>
      </c>
      <c r="AV173" s="2203">
        <v>51</v>
      </c>
    </row>
    <row r="174" spans="1:48" ht="16.5" thickBot="1">
      <c r="A174" s="767">
        <v>11</v>
      </c>
      <c r="B174" s="768"/>
      <c r="C174" s="769">
        <v>305</v>
      </c>
      <c r="D174" s="768"/>
      <c r="H174" s="770">
        <v>9</v>
      </c>
      <c r="I174" s="768"/>
      <c r="J174" s="769" t="s">
        <v>1098</v>
      </c>
      <c r="K174" s="769" t="s">
        <v>1085</v>
      </c>
      <c r="L174" s="769" t="s">
        <v>1052</v>
      </c>
      <c r="M174" s="769" t="s">
        <v>1053</v>
      </c>
      <c r="N174" s="769" t="s">
        <v>1099</v>
      </c>
      <c r="O174" s="769" t="s">
        <v>1100</v>
      </c>
      <c r="P174" s="769" t="s">
        <v>1065</v>
      </c>
      <c r="Q174" s="769" t="s">
        <v>1056</v>
      </c>
      <c r="R174" s="769" t="s">
        <v>1076</v>
      </c>
      <c r="S174" s="769" t="s">
        <v>1095</v>
      </c>
      <c r="T174" s="769" t="s">
        <v>1101</v>
      </c>
      <c r="U174" s="769" t="s">
        <v>1102</v>
      </c>
      <c r="AB174" s="774"/>
      <c r="AC174" s="775"/>
      <c r="AD174" s="714"/>
      <c r="AG174" s="1238">
        <v>43635</v>
      </c>
      <c r="AH174" s="775">
        <v>1943</v>
      </c>
      <c r="AI174" s="714">
        <v>110</v>
      </c>
      <c r="AT174" s="2206">
        <v>43666</v>
      </c>
      <c r="AU174" s="2199">
        <v>72.5</v>
      </c>
      <c r="AV174" s="2203">
        <v>51.9</v>
      </c>
    </row>
    <row r="175" spans="1:48" ht="16.5" thickBot="1">
      <c r="A175" s="767">
        <v>12</v>
      </c>
      <c r="B175" s="768"/>
      <c r="C175" s="769">
        <v>423</v>
      </c>
      <c r="D175" s="768"/>
      <c r="H175" s="770">
        <v>10</v>
      </c>
      <c r="I175" s="768"/>
      <c r="J175" s="769" t="s">
        <v>1103</v>
      </c>
      <c r="K175" s="769" t="s">
        <v>1085</v>
      </c>
      <c r="L175" s="769" t="s">
        <v>1063</v>
      </c>
      <c r="M175" s="769" t="s">
        <v>1053</v>
      </c>
      <c r="N175" s="769" t="s">
        <v>1099</v>
      </c>
      <c r="O175" s="769" t="s">
        <v>1104</v>
      </c>
      <c r="P175" s="769" t="s">
        <v>1102</v>
      </c>
      <c r="Q175" s="769" t="s">
        <v>1056</v>
      </c>
      <c r="R175" s="769" t="s">
        <v>1066</v>
      </c>
      <c r="S175" s="769" t="s">
        <v>1105</v>
      </c>
      <c r="T175" s="769" t="s">
        <v>1106</v>
      </c>
      <c r="U175" s="769" t="s">
        <v>1096</v>
      </c>
      <c r="AB175" s="774"/>
      <c r="AC175" s="775"/>
      <c r="AD175" s="714"/>
      <c r="AG175" s="1238">
        <v>43636</v>
      </c>
      <c r="AH175" s="775">
        <v>1934</v>
      </c>
      <c r="AI175" s="714">
        <v>110</v>
      </c>
      <c r="AJ175" s="771">
        <v>42533</v>
      </c>
      <c r="AK175" s="772">
        <v>5559.13</v>
      </c>
      <c r="AL175" s="772">
        <v>6.01</v>
      </c>
      <c r="AM175" s="772">
        <v>2006</v>
      </c>
      <c r="AN175" s="773">
        <v>110</v>
      </c>
      <c r="AT175" s="2206">
        <v>43667</v>
      </c>
      <c r="AU175" s="2199">
        <v>69.400000000000006</v>
      </c>
      <c r="AV175" s="2203">
        <v>61.8</v>
      </c>
    </row>
    <row r="176" spans="1:48" ht="16.5" thickBot="1">
      <c r="A176" s="767">
        <v>13</v>
      </c>
      <c r="B176" s="768"/>
      <c r="C176" s="769">
        <v>1140</v>
      </c>
      <c r="D176" s="768"/>
      <c r="H176" s="770">
        <v>11</v>
      </c>
      <c r="I176" s="768"/>
      <c r="J176" s="769" t="s">
        <v>1107</v>
      </c>
      <c r="K176" s="769" t="s">
        <v>1108</v>
      </c>
      <c r="L176" s="769" t="s">
        <v>1052</v>
      </c>
      <c r="M176" s="769" t="s">
        <v>1053</v>
      </c>
      <c r="N176" s="769" t="s">
        <v>1109</v>
      </c>
      <c r="O176" s="769" t="s">
        <v>1110</v>
      </c>
      <c r="P176" s="769" t="s">
        <v>1096</v>
      </c>
      <c r="Q176" s="769" t="s">
        <v>1057</v>
      </c>
      <c r="R176" s="769" t="s">
        <v>1087</v>
      </c>
      <c r="S176" s="769" t="s">
        <v>1111</v>
      </c>
      <c r="T176" s="769" t="s">
        <v>1112</v>
      </c>
      <c r="U176" s="769" t="s">
        <v>1113</v>
      </c>
      <c r="AB176" s="774"/>
      <c r="AC176" s="775"/>
      <c r="AD176" s="714"/>
      <c r="AG176" s="1238">
        <v>43637</v>
      </c>
      <c r="AH176" s="775">
        <v>1931</v>
      </c>
      <c r="AI176" s="714">
        <v>109</v>
      </c>
      <c r="AJ176" s="774">
        <v>42534</v>
      </c>
      <c r="AK176" s="775">
        <v>5559.22</v>
      </c>
      <c r="AL176" s="775">
        <v>6.14</v>
      </c>
      <c r="AM176" s="775">
        <v>2016</v>
      </c>
      <c r="AN176" s="714">
        <v>110</v>
      </c>
      <c r="AT176" s="2206">
        <v>43668</v>
      </c>
      <c r="AU176" s="2199">
        <v>67.5</v>
      </c>
      <c r="AV176" s="2203">
        <v>58.1</v>
      </c>
    </row>
    <row r="177" spans="1:48" ht="16.5" thickBot="1">
      <c r="A177" s="767">
        <v>14</v>
      </c>
      <c r="B177" s="768"/>
      <c r="C177" s="769">
        <v>844</v>
      </c>
      <c r="D177" s="768"/>
      <c r="H177" s="770">
        <v>12</v>
      </c>
      <c r="I177" s="768"/>
      <c r="J177" s="769" t="s">
        <v>1114</v>
      </c>
      <c r="K177" s="769" t="s">
        <v>1090</v>
      </c>
      <c r="L177" s="769" t="s">
        <v>1052</v>
      </c>
      <c r="M177" s="769" t="s">
        <v>1053</v>
      </c>
      <c r="N177" s="769" t="s">
        <v>1099</v>
      </c>
      <c r="O177" s="769" t="s">
        <v>1115</v>
      </c>
      <c r="P177" s="769" t="s">
        <v>1116</v>
      </c>
      <c r="Q177" s="769" t="s">
        <v>1117</v>
      </c>
      <c r="R177" s="769" t="s">
        <v>1118</v>
      </c>
      <c r="S177" s="769" t="s">
        <v>1119</v>
      </c>
      <c r="T177" s="769" t="s">
        <v>1120</v>
      </c>
      <c r="U177" s="769" t="s">
        <v>1113</v>
      </c>
      <c r="AB177" s="774"/>
      <c r="AC177" s="775"/>
      <c r="AD177" s="714"/>
      <c r="AG177" s="1238">
        <v>43638</v>
      </c>
      <c r="AH177" s="775">
        <v>1954</v>
      </c>
      <c r="AI177" s="714">
        <v>110</v>
      </c>
      <c r="AJ177" s="774">
        <v>42535</v>
      </c>
      <c r="AK177" s="775">
        <v>5559.49</v>
      </c>
      <c r="AL177" s="775">
        <v>6.5</v>
      </c>
      <c r="AM177" s="775">
        <v>2045</v>
      </c>
      <c r="AN177" s="714">
        <v>111</v>
      </c>
      <c r="AT177" s="2206">
        <v>43669</v>
      </c>
      <c r="AU177" s="2199">
        <v>71.2</v>
      </c>
      <c r="AV177" s="2203">
        <v>55.3</v>
      </c>
    </row>
    <row r="178" spans="1:48" ht="16.5" thickBot="1">
      <c r="A178" s="767">
        <v>15</v>
      </c>
      <c r="B178" s="768"/>
      <c r="C178" s="769">
        <v>968</v>
      </c>
      <c r="D178" s="768"/>
      <c r="H178" s="770">
        <v>13</v>
      </c>
      <c r="I178" s="768"/>
      <c r="J178" s="769" t="s">
        <v>1121</v>
      </c>
      <c r="K178" s="769" t="s">
        <v>1122</v>
      </c>
      <c r="L178" s="769" t="s">
        <v>1053</v>
      </c>
      <c r="M178" s="769" t="s">
        <v>1053</v>
      </c>
      <c r="N178" s="769" t="s">
        <v>1099</v>
      </c>
      <c r="O178" s="769" t="s">
        <v>1123</v>
      </c>
      <c r="P178" s="769" t="s">
        <v>1124</v>
      </c>
      <c r="Q178" s="769" t="s">
        <v>1116</v>
      </c>
      <c r="R178" s="769" t="s">
        <v>1116</v>
      </c>
      <c r="S178" s="769" t="s">
        <v>1125</v>
      </c>
      <c r="T178" s="769" t="s">
        <v>1126</v>
      </c>
      <c r="U178" s="769" t="s">
        <v>1124</v>
      </c>
      <c r="AB178" s="774"/>
      <c r="AC178" s="775"/>
      <c r="AD178" s="714"/>
      <c r="AF178" s="776"/>
      <c r="AG178" s="1238">
        <v>43639</v>
      </c>
      <c r="AH178" s="775">
        <v>1965</v>
      </c>
      <c r="AI178" s="714">
        <v>111</v>
      </c>
      <c r="AJ178" s="774">
        <v>42536</v>
      </c>
      <c r="AK178" s="775">
        <v>5559.2</v>
      </c>
      <c r="AL178" s="775">
        <v>6.5</v>
      </c>
      <c r="AM178" s="775">
        <v>2013</v>
      </c>
      <c r="AN178" s="714">
        <v>110</v>
      </c>
      <c r="AO178" s="776"/>
      <c r="AT178" s="2206">
        <v>43670</v>
      </c>
      <c r="AU178" s="2199">
        <v>75.2</v>
      </c>
      <c r="AV178" s="2203">
        <v>51.2</v>
      </c>
    </row>
    <row r="179" spans="1:48" ht="16.5" thickBot="1">
      <c r="A179" s="767">
        <v>16</v>
      </c>
      <c r="B179" s="768"/>
      <c r="C179" s="769">
        <v>1020</v>
      </c>
      <c r="D179" s="768"/>
      <c r="H179" s="770">
        <v>14</v>
      </c>
      <c r="I179" s="769" t="s">
        <v>1061</v>
      </c>
      <c r="J179" s="769" t="s">
        <v>1127</v>
      </c>
      <c r="K179" s="769" t="s">
        <v>1128</v>
      </c>
      <c r="L179" s="769" t="s">
        <v>1053</v>
      </c>
      <c r="M179" s="769" t="s">
        <v>1053</v>
      </c>
      <c r="N179" s="769" t="s">
        <v>1129</v>
      </c>
      <c r="O179" s="769" t="s">
        <v>1130</v>
      </c>
      <c r="P179" s="769" t="s">
        <v>1131</v>
      </c>
      <c r="Q179" s="769" t="s">
        <v>1132</v>
      </c>
      <c r="R179" s="769" t="s">
        <v>1124</v>
      </c>
      <c r="S179" s="769" t="s">
        <v>1133</v>
      </c>
      <c r="T179" s="769" t="s">
        <v>1134</v>
      </c>
      <c r="U179" s="769" t="s">
        <v>1113</v>
      </c>
      <c r="AB179" s="774"/>
      <c r="AC179" s="775"/>
      <c r="AD179" s="714"/>
      <c r="AF179" s="749"/>
      <c r="AG179" s="1238">
        <v>43640</v>
      </c>
      <c r="AH179" s="775">
        <v>1947</v>
      </c>
      <c r="AI179" s="714">
        <v>110</v>
      </c>
      <c r="AJ179" s="774">
        <v>42537</v>
      </c>
      <c r="AK179" s="775">
        <v>5559.09</v>
      </c>
      <c r="AL179" s="775">
        <v>6.5</v>
      </c>
      <c r="AM179" s="775">
        <v>2001</v>
      </c>
      <c r="AN179" s="714">
        <v>110</v>
      </c>
      <c r="AO179" s="749"/>
      <c r="AT179" s="2206">
        <v>43671</v>
      </c>
      <c r="AU179" s="2199">
        <v>72.2</v>
      </c>
      <c r="AV179" s="2203">
        <v>53.9</v>
      </c>
    </row>
    <row r="180" spans="1:48" ht="16.5" thickBot="1">
      <c r="A180" s="767">
        <v>17</v>
      </c>
      <c r="B180" s="768"/>
      <c r="C180" s="769">
        <v>781</v>
      </c>
      <c r="D180" s="768"/>
      <c r="H180" s="770">
        <v>15</v>
      </c>
      <c r="I180" s="769" t="s">
        <v>1135</v>
      </c>
      <c r="J180" s="769" t="s">
        <v>1136</v>
      </c>
      <c r="K180" s="769" t="s">
        <v>1074</v>
      </c>
      <c r="L180" s="769" t="s">
        <v>1053</v>
      </c>
      <c r="M180" s="769" t="s">
        <v>1053</v>
      </c>
      <c r="N180" s="769" t="s">
        <v>1137</v>
      </c>
      <c r="O180" s="769" t="s">
        <v>1138</v>
      </c>
      <c r="P180" s="769" t="s">
        <v>1131</v>
      </c>
      <c r="Q180" s="769" t="s">
        <v>1055</v>
      </c>
      <c r="R180" s="769" t="s">
        <v>1082</v>
      </c>
      <c r="S180" s="769" t="s">
        <v>1139</v>
      </c>
      <c r="T180" s="769" t="s">
        <v>1140</v>
      </c>
      <c r="U180" s="768"/>
      <c r="AB180" s="774"/>
      <c r="AC180" s="775"/>
      <c r="AD180" s="714"/>
      <c r="AG180" s="1238">
        <v>43641</v>
      </c>
      <c r="AH180" s="775">
        <v>1935</v>
      </c>
      <c r="AI180" s="714">
        <v>110</v>
      </c>
      <c r="AJ180" s="774">
        <v>42538</v>
      </c>
      <c r="AK180" s="775">
        <v>5559</v>
      </c>
      <c r="AL180" s="775">
        <v>6.5</v>
      </c>
      <c r="AM180" s="775">
        <v>1992</v>
      </c>
      <c r="AN180" s="714">
        <v>110</v>
      </c>
      <c r="AT180" s="2206">
        <v>43672</v>
      </c>
      <c r="AU180" s="2199">
        <v>74.2</v>
      </c>
      <c r="AV180" s="2203">
        <v>63.1</v>
      </c>
    </row>
    <row r="181" spans="1:48" ht="16.5" thickBot="1">
      <c r="A181" s="767">
        <v>18</v>
      </c>
      <c r="B181" s="768"/>
      <c r="C181" s="769">
        <v>618</v>
      </c>
      <c r="D181" s="768"/>
      <c r="H181" s="770">
        <v>16</v>
      </c>
      <c r="I181" s="769" t="s">
        <v>1141</v>
      </c>
      <c r="J181" s="769" t="s">
        <v>1142</v>
      </c>
      <c r="K181" s="769" t="s">
        <v>1122</v>
      </c>
      <c r="L181" s="769" t="s">
        <v>1053</v>
      </c>
      <c r="M181" s="769" t="s">
        <v>1053</v>
      </c>
      <c r="N181" s="769" t="s">
        <v>1143</v>
      </c>
      <c r="O181" s="769" t="s">
        <v>1138</v>
      </c>
      <c r="P181" s="769" t="s">
        <v>1144</v>
      </c>
      <c r="Q181" s="769" t="s">
        <v>1124</v>
      </c>
      <c r="R181" s="769" t="s">
        <v>1076</v>
      </c>
      <c r="S181" s="769" t="s">
        <v>1145</v>
      </c>
      <c r="T181" s="769" t="s">
        <v>1146</v>
      </c>
      <c r="U181" s="768"/>
      <c r="AB181" s="774"/>
      <c r="AC181" s="775"/>
      <c r="AD181" s="714"/>
      <c r="AG181" s="1238">
        <v>43642</v>
      </c>
      <c r="AH181" s="775">
        <v>1928</v>
      </c>
      <c r="AI181" s="714">
        <v>109</v>
      </c>
      <c r="AJ181" s="774">
        <v>42539</v>
      </c>
      <c r="AK181" s="775">
        <v>5558.94</v>
      </c>
      <c r="AL181" s="775">
        <v>6.5</v>
      </c>
      <c r="AM181" s="775">
        <v>1985</v>
      </c>
      <c r="AN181" s="714">
        <v>109</v>
      </c>
      <c r="AT181" s="2206">
        <v>43673</v>
      </c>
      <c r="AU181" s="2199">
        <v>72.599999999999994</v>
      </c>
      <c r="AV181" s="2203">
        <v>55.6</v>
      </c>
    </row>
    <row r="182" spans="1:48" ht="16.5" thickBot="1">
      <c r="A182" s="767">
        <v>19</v>
      </c>
      <c r="B182" s="768"/>
      <c r="C182" s="769">
        <v>506</v>
      </c>
      <c r="D182" s="768"/>
      <c r="H182" s="770">
        <v>17</v>
      </c>
      <c r="I182" s="769" t="s">
        <v>1061</v>
      </c>
      <c r="J182" s="769" t="s">
        <v>1147</v>
      </c>
      <c r="K182" s="769" t="s">
        <v>1074</v>
      </c>
      <c r="L182" s="769" t="s">
        <v>1053</v>
      </c>
      <c r="M182" s="769" t="s">
        <v>1053</v>
      </c>
      <c r="N182" s="769" t="s">
        <v>1099</v>
      </c>
      <c r="O182" s="769" t="s">
        <v>1148</v>
      </c>
      <c r="P182" s="769" t="s">
        <v>1094</v>
      </c>
      <c r="Q182" s="769" t="s">
        <v>1094</v>
      </c>
      <c r="R182" s="769" t="s">
        <v>1057</v>
      </c>
      <c r="S182" s="769" t="s">
        <v>1149</v>
      </c>
      <c r="T182" s="769" t="s">
        <v>1150</v>
      </c>
      <c r="U182" s="768"/>
      <c r="AB182" s="774"/>
      <c r="AC182" s="775"/>
      <c r="AD182" s="714"/>
      <c r="AG182" s="1238">
        <v>43643</v>
      </c>
      <c r="AH182" s="775">
        <v>1921</v>
      </c>
      <c r="AI182" s="714">
        <v>109</v>
      </c>
      <c r="AJ182" s="774">
        <v>42540</v>
      </c>
      <c r="AK182" s="775">
        <v>5558.92</v>
      </c>
      <c r="AL182" s="775">
        <v>6.5</v>
      </c>
      <c r="AM182" s="775">
        <v>1983</v>
      </c>
      <c r="AN182" s="714">
        <v>109</v>
      </c>
      <c r="AT182" s="2206">
        <v>43674</v>
      </c>
      <c r="AU182" s="2199">
        <v>75.7</v>
      </c>
      <c r="AV182" s="2203">
        <v>57.1</v>
      </c>
    </row>
    <row r="183" spans="1:48" ht="16.5" thickBot="1">
      <c r="A183" s="767">
        <v>20</v>
      </c>
      <c r="B183" s="768"/>
      <c r="C183" s="769">
        <v>438</v>
      </c>
      <c r="D183" s="768"/>
      <c r="H183" s="770">
        <v>18</v>
      </c>
      <c r="I183" s="769" t="s">
        <v>1061</v>
      </c>
      <c r="J183" s="769" t="s">
        <v>1151</v>
      </c>
      <c r="K183" s="769" t="s">
        <v>1086</v>
      </c>
      <c r="L183" s="769" t="s">
        <v>1053</v>
      </c>
      <c r="M183" s="769" t="s">
        <v>1053</v>
      </c>
      <c r="N183" s="769" t="s">
        <v>1099</v>
      </c>
      <c r="O183" s="769" t="s">
        <v>1152</v>
      </c>
      <c r="P183" s="769" t="s">
        <v>1054</v>
      </c>
      <c r="Q183" s="769" t="s">
        <v>1066</v>
      </c>
      <c r="R183" s="769" t="s">
        <v>1057</v>
      </c>
      <c r="S183" s="769" t="s">
        <v>1153</v>
      </c>
      <c r="T183" s="769" t="s">
        <v>1150</v>
      </c>
      <c r="U183" s="768"/>
      <c r="AB183" s="774"/>
      <c r="AC183" s="775"/>
      <c r="AD183" s="714"/>
      <c r="AG183" s="1238">
        <v>43644</v>
      </c>
      <c r="AH183" s="775">
        <v>1916</v>
      </c>
      <c r="AI183" s="714">
        <v>109</v>
      </c>
      <c r="AJ183" s="774">
        <v>42541</v>
      </c>
      <c r="AK183" s="775">
        <v>5558.88</v>
      </c>
      <c r="AL183" s="775">
        <v>6.5</v>
      </c>
      <c r="AM183" s="775">
        <v>1978</v>
      </c>
      <c r="AN183" s="714">
        <v>109</v>
      </c>
      <c r="AT183" s="2206">
        <v>43675</v>
      </c>
      <c r="AU183" s="2199">
        <v>73.400000000000006</v>
      </c>
      <c r="AV183" s="2203">
        <v>47.4</v>
      </c>
    </row>
    <row r="184" spans="1:48" ht="16.5" thickBot="1">
      <c r="A184" s="767">
        <v>21</v>
      </c>
      <c r="B184" s="768"/>
      <c r="C184" s="769">
        <v>385</v>
      </c>
      <c r="D184" s="768"/>
      <c r="H184" s="770">
        <v>19</v>
      </c>
      <c r="I184" s="769" t="s">
        <v>1154</v>
      </c>
      <c r="J184" s="769" t="s">
        <v>1155</v>
      </c>
      <c r="K184" s="769" t="s">
        <v>1074</v>
      </c>
      <c r="L184" s="769" t="s">
        <v>1053</v>
      </c>
      <c r="M184" s="769" t="s">
        <v>1053</v>
      </c>
      <c r="N184" s="769" t="s">
        <v>1075</v>
      </c>
      <c r="O184" s="769" t="s">
        <v>1156</v>
      </c>
      <c r="P184" s="769" t="s">
        <v>1066</v>
      </c>
      <c r="Q184" s="769" t="s">
        <v>1066</v>
      </c>
      <c r="R184" s="769" t="s">
        <v>1057</v>
      </c>
      <c r="S184" s="769" t="s">
        <v>1157</v>
      </c>
      <c r="T184" s="769" t="s">
        <v>1115</v>
      </c>
      <c r="U184" s="768"/>
      <c r="AB184" s="774"/>
      <c r="AC184" s="775"/>
      <c r="AD184" s="714"/>
      <c r="AG184" s="1238">
        <v>43645</v>
      </c>
      <c r="AH184" s="775">
        <v>1912</v>
      </c>
      <c r="AI184" s="714">
        <v>109</v>
      </c>
      <c r="AJ184" s="774">
        <v>42542</v>
      </c>
      <c r="AK184" s="775">
        <v>5559.05</v>
      </c>
      <c r="AL184" s="775">
        <v>6.51</v>
      </c>
      <c r="AM184" s="775">
        <v>1997</v>
      </c>
      <c r="AN184" s="714">
        <v>110</v>
      </c>
      <c r="AT184" s="2206">
        <v>43676</v>
      </c>
      <c r="AU184" s="2199">
        <v>76</v>
      </c>
      <c r="AV184" s="2203">
        <v>45.9</v>
      </c>
    </row>
    <row r="185" spans="1:48" ht="16.5" thickBot="1">
      <c r="A185" s="767">
        <v>22</v>
      </c>
      <c r="B185" s="768"/>
      <c r="C185" s="769">
        <v>342</v>
      </c>
      <c r="D185" s="768"/>
      <c r="H185" s="770">
        <v>20</v>
      </c>
      <c r="I185" s="769" t="s">
        <v>1061</v>
      </c>
      <c r="J185" s="769" t="s">
        <v>1158</v>
      </c>
      <c r="K185" s="769" t="s">
        <v>1074</v>
      </c>
      <c r="L185" s="769" t="s">
        <v>1053</v>
      </c>
      <c r="M185" s="769" t="s">
        <v>1053</v>
      </c>
      <c r="N185" s="769" t="s">
        <v>1109</v>
      </c>
      <c r="O185" s="769" t="s">
        <v>1159</v>
      </c>
      <c r="P185" s="769" t="s">
        <v>1087</v>
      </c>
      <c r="Q185" s="769" t="s">
        <v>1087</v>
      </c>
      <c r="R185" s="769" t="s">
        <v>1056</v>
      </c>
      <c r="S185" s="769" t="s">
        <v>1160</v>
      </c>
      <c r="T185" s="769" t="s">
        <v>1115</v>
      </c>
      <c r="U185" s="768"/>
      <c r="AB185" s="774"/>
      <c r="AC185" s="775"/>
      <c r="AD185" s="714"/>
      <c r="AG185" s="1238">
        <v>43646</v>
      </c>
      <c r="AH185" s="775">
        <v>1916</v>
      </c>
      <c r="AI185" s="714">
        <v>109</v>
      </c>
      <c r="AJ185" s="774">
        <v>42543</v>
      </c>
      <c r="AK185" s="775">
        <v>5558.98</v>
      </c>
      <c r="AL185" s="775">
        <v>6.51</v>
      </c>
      <c r="AM185" s="775">
        <v>1990</v>
      </c>
      <c r="AN185" s="714">
        <v>109</v>
      </c>
      <c r="AT185" s="2206">
        <v>43677</v>
      </c>
      <c r="AU185" s="2199">
        <v>76</v>
      </c>
      <c r="AV185" s="2203">
        <v>45.2</v>
      </c>
    </row>
    <row r="186" spans="1:48" ht="16.5" thickBot="1">
      <c r="A186" s="767">
        <v>23</v>
      </c>
      <c r="B186" s="768"/>
      <c r="C186" s="769">
        <v>313</v>
      </c>
      <c r="D186" s="768"/>
      <c r="H186" s="770">
        <v>21</v>
      </c>
      <c r="I186" s="769" t="s">
        <v>1072</v>
      </c>
      <c r="J186" s="769" t="s">
        <v>1161</v>
      </c>
      <c r="K186" s="769" t="s">
        <v>1063</v>
      </c>
      <c r="L186" s="769" t="s">
        <v>1053</v>
      </c>
      <c r="M186" s="769" t="s">
        <v>1053</v>
      </c>
      <c r="N186" s="769" t="s">
        <v>1080</v>
      </c>
      <c r="O186" s="769" t="s">
        <v>1162</v>
      </c>
      <c r="P186" s="769" t="s">
        <v>1076</v>
      </c>
      <c r="Q186" s="769" t="s">
        <v>1078</v>
      </c>
      <c r="R186" s="769" t="s">
        <v>1056</v>
      </c>
      <c r="S186" s="769" t="s">
        <v>1163</v>
      </c>
      <c r="T186" s="769" t="s">
        <v>1164</v>
      </c>
      <c r="U186" s="768"/>
      <c r="AB186" s="774"/>
      <c r="AC186" s="775"/>
      <c r="AD186" s="714"/>
      <c r="AG186" s="1238">
        <v>43647</v>
      </c>
      <c r="AH186" s="775">
        <v>1929</v>
      </c>
      <c r="AI186" s="714">
        <v>109</v>
      </c>
      <c r="AJ186" s="774">
        <v>42544</v>
      </c>
      <c r="AK186" s="775">
        <v>5559</v>
      </c>
      <c r="AL186" s="775">
        <v>6.55</v>
      </c>
      <c r="AM186" s="775">
        <v>1992</v>
      </c>
      <c r="AN186" s="714">
        <v>110</v>
      </c>
      <c r="AT186" s="2206">
        <v>43678</v>
      </c>
      <c r="AU186" s="2199">
        <v>68.7</v>
      </c>
      <c r="AV186" s="2203">
        <v>47.4</v>
      </c>
    </row>
    <row r="187" spans="1:48" ht="16.5" thickBot="1">
      <c r="A187" s="767">
        <v>24</v>
      </c>
      <c r="B187" s="768"/>
      <c r="C187" s="769">
        <v>264</v>
      </c>
      <c r="D187" s="768"/>
      <c r="H187" s="770">
        <v>22</v>
      </c>
      <c r="I187" s="769" t="s">
        <v>1072</v>
      </c>
      <c r="J187" s="769" t="s">
        <v>1165</v>
      </c>
      <c r="K187" s="769" t="s">
        <v>1166</v>
      </c>
      <c r="L187" s="769" t="s">
        <v>1053</v>
      </c>
      <c r="M187" s="769" t="s">
        <v>1053</v>
      </c>
      <c r="N187" s="769" t="s">
        <v>1167</v>
      </c>
      <c r="O187" s="769" t="s">
        <v>1168</v>
      </c>
      <c r="P187" s="769" t="s">
        <v>1076</v>
      </c>
      <c r="Q187" s="769" t="s">
        <v>1070</v>
      </c>
      <c r="R187" s="769" t="s">
        <v>1087</v>
      </c>
      <c r="S187" s="769" t="s">
        <v>1169</v>
      </c>
      <c r="T187" s="769" t="s">
        <v>1170</v>
      </c>
      <c r="U187" s="768"/>
      <c r="AB187" s="774"/>
      <c r="AC187" s="775"/>
      <c r="AD187" s="714"/>
      <c r="AG187" s="1238">
        <v>43648</v>
      </c>
      <c r="AH187" s="775">
        <v>1937</v>
      </c>
      <c r="AI187" s="714">
        <v>110</v>
      </c>
      <c r="AJ187" s="774">
        <v>42545</v>
      </c>
      <c r="AK187" s="775">
        <v>5558.94</v>
      </c>
      <c r="AL187" s="775">
        <v>6.61</v>
      </c>
      <c r="AM187" s="775">
        <v>1985</v>
      </c>
      <c r="AN187" s="714">
        <v>109</v>
      </c>
      <c r="AT187" s="2206">
        <v>43679</v>
      </c>
      <c r="AU187" s="2199">
        <v>72</v>
      </c>
      <c r="AV187" s="2203">
        <v>55.8</v>
      </c>
    </row>
    <row r="188" spans="1:48" ht="16.5" thickBot="1">
      <c r="A188" s="767">
        <v>25</v>
      </c>
      <c r="B188" s="768"/>
      <c r="C188" s="769">
        <v>238</v>
      </c>
      <c r="D188" s="768"/>
      <c r="H188" s="770">
        <v>23</v>
      </c>
      <c r="I188" s="769" t="s">
        <v>1171</v>
      </c>
      <c r="J188" s="769" t="s">
        <v>1172</v>
      </c>
      <c r="K188" s="769" t="s">
        <v>1086</v>
      </c>
      <c r="L188" s="769" t="s">
        <v>1053</v>
      </c>
      <c r="M188" s="769" t="s">
        <v>1053</v>
      </c>
      <c r="N188" s="769" t="s">
        <v>1173</v>
      </c>
      <c r="O188" s="769" t="s">
        <v>1159</v>
      </c>
      <c r="P188" s="769" t="s">
        <v>1078</v>
      </c>
      <c r="Q188" s="769" t="s">
        <v>1174</v>
      </c>
      <c r="R188" s="769" t="s">
        <v>1095</v>
      </c>
      <c r="S188" s="769" t="s">
        <v>1175</v>
      </c>
      <c r="T188" s="769" t="s">
        <v>1110</v>
      </c>
      <c r="U188" s="768"/>
      <c r="AB188" s="774"/>
      <c r="AC188" s="775"/>
      <c r="AD188" s="714"/>
      <c r="AG188" s="1238">
        <v>43649</v>
      </c>
      <c r="AH188" s="775">
        <v>1934</v>
      </c>
      <c r="AI188" s="714">
        <v>110</v>
      </c>
      <c r="AJ188" s="774">
        <v>42546</v>
      </c>
      <c r="AK188" s="775">
        <v>5558.82</v>
      </c>
      <c r="AL188" s="775">
        <v>6.63</v>
      </c>
      <c r="AM188" s="775">
        <v>1972</v>
      </c>
      <c r="AN188" s="714">
        <v>109</v>
      </c>
      <c r="AT188" s="2206">
        <v>43680</v>
      </c>
      <c r="AU188" s="2199">
        <v>76.5</v>
      </c>
      <c r="AV188" s="2203">
        <v>50</v>
      </c>
    </row>
    <row r="189" spans="1:48" ht="16.5" thickBot="1">
      <c r="A189" s="767">
        <v>26</v>
      </c>
      <c r="B189" s="768"/>
      <c r="C189" s="769">
        <v>214</v>
      </c>
      <c r="D189" s="768"/>
      <c r="H189" s="770">
        <v>24</v>
      </c>
      <c r="I189" s="769" t="s">
        <v>1171</v>
      </c>
      <c r="J189" s="769" t="s">
        <v>1051</v>
      </c>
      <c r="K189" s="769" t="s">
        <v>1051</v>
      </c>
      <c r="L189" s="769" t="s">
        <v>1053</v>
      </c>
      <c r="M189" s="769" t="s">
        <v>1053</v>
      </c>
      <c r="N189" s="769" t="s">
        <v>1176</v>
      </c>
      <c r="O189" s="769" t="s">
        <v>1177</v>
      </c>
      <c r="P189" s="769" t="s">
        <v>1076</v>
      </c>
      <c r="Q189" s="769" t="s">
        <v>1174</v>
      </c>
      <c r="R189" s="769" t="s">
        <v>1060</v>
      </c>
      <c r="S189" s="769" t="s">
        <v>1178</v>
      </c>
      <c r="T189" s="769" t="s">
        <v>1081</v>
      </c>
      <c r="U189" s="768"/>
      <c r="AB189" s="774"/>
      <c r="AC189" s="775"/>
      <c r="AD189" s="714"/>
      <c r="AG189" s="1238">
        <v>43650</v>
      </c>
      <c r="AH189" s="775">
        <v>1928</v>
      </c>
      <c r="AI189" s="714">
        <v>109</v>
      </c>
      <c r="AJ189" s="774">
        <v>42547</v>
      </c>
      <c r="AK189" s="775">
        <v>5558.81</v>
      </c>
      <c r="AL189" s="775">
        <v>6.67</v>
      </c>
      <c r="AM189" s="775">
        <v>1971</v>
      </c>
      <c r="AN189" s="714">
        <v>109</v>
      </c>
      <c r="AT189" s="2206">
        <v>43681</v>
      </c>
      <c r="AU189" s="2199">
        <v>73.599999999999994</v>
      </c>
      <c r="AV189" s="2203">
        <v>46</v>
      </c>
    </row>
    <row r="190" spans="1:48" ht="16.5" thickBot="1">
      <c r="A190" s="767">
        <v>27</v>
      </c>
      <c r="B190" s="768"/>
      <c r="C190" s="769">
        <v>203</v>
      </c>
      <c r="D190" s="768"/>
      <c r="H190" s="770">
        <v>25</v>
      </c>
      <c r="I190" s="769" t="s">
        <v>1154</v>
      </c>
      <c r="J190" s="769" t="s">
        <v>1052</v>
      </c>
      <c r="K190" s="769" t="s">
        <v>1179</v>
      </c>
      <c r="L190" s="769" t="s">
        <v>1053</v>
      </c>
      <c r="M190" s="769" t="s">
        <v>1053</v>
      </c>
      <c r="N190" s="769" t="s">
        <v>1064</v>
      </c>
      <c r="O190" s="769" t="s">
        <v>1120</v>
      </c>
      <c r="P190" s="769" t="s">
        <v>1057</v>
      </c>
      <c r="Q190" s="769" t="s">
        <v>1057</v>
      </c>
      <c r="R190" s="769" t="s">
        <v>1116</v>
      </c>
      <c r="S190" s="769" t="s">
        <v>1180</v>
      </c>
      <c r="T190" s="769" t="s">
        <v>1077</v>
      </c>
      <c r="U190" s="768"/>
      <c r="AB190" s="774"/>
      <c r="AC190" s="775"/>
      <c r="AD190" s="714"/>
      <c r="AG190" s="1238">
        <v>43651</v>
      </c>
      <c r="AH190" s="775">
        <v>1924</v>
      </c>
      <c r="AI190" s="714">
        <v>109</v>
      </c>
      <c r="AJ190" s="774">
        <v>42548</v>
      </c>
      <c r="AK190" s="775">
        <v>5558.74</v>
      </c>
      <c r="AL190" s="775">
        <v>6.67</v>
      </c>
      <c r="AM190" s="775">
        <v>1963</v>
      </c>
      <c r="AN190" s="714">
        <v>109</v>
      </c>
      <c r="AT190" s="2206">
        <v>43682</v>
      </c>
      <c r="AU190" s="2199">
        <v>74.2</v>
      </c>
      <c r="AV190" s="2203">
        <v>50.9</v>
      </c>
    </row>
    <row r="191" spans="1:48" ht="16.5" thickBot="1">
      <c r="A191" s="767">
        <v>28</v>
      </c>
      <c r="B191" s="768"/>
      <c r="C191" s="769">
        <v>186</v>
      </c>
      <c r="D191" s="768"/>
      <c r="H191" s="770">
        <v>26</v>
      </c>
      <c r="I191" s="769" t="s">
        <v>1061</v>
      </c>
      <c r="J191" s="769" t="s">
        <v>1074</v>
      </c>
      <c r="K191" s="769" t="s">
        <v>1086</v>
      </c>
      <c r="L191" s="769" t="s">
        <v>1053</v>
      </c>
      <c r="M191" s="769" t="s">
        <v>1053</v>
      </c>
      <c r="N191" s="769" t="s">
        <v>1181</v>
      </c>
      <c r="O191" s="769" t="s">
        <v>1134</v>
      </c>
      <c r="P191" s="769" t="s">
        <v>1070</v>
      </c>
      <c r="Q191" s="769" t="s">
        <v>1087</v>
      </c>
      <c r="R191" s="769" t="s">
        <v>1113</v>
      </c>
      <c r="S191" s="769" t="s">
        <v>1182</v>
      </c>
      <c r="T191" s="769" t="s">
        <v>1100</v>
      </c>
      <c r="U191" s="768"/>
      <c r="AB191" s="774"/>
      <c r="AC191" s="775"/>
      <c r="AD191" s="714"/>
      <c r="AG191" s="1238">
        <v>43652</v>
      </c>
      <c r="AH191" s="775">
        <v>1929</v>
      </c>
      <c r="AI191" s="714">
        <v>109</v>
      </c>
      <c r="AJ191" s="774">
        <v>42549</v>
      </c>
      <c r="AK191" s="775">
        <v>5558.69</v>
      </c>
      <c r="AL191" s="775">
        <v>6.67</v>
      </c>
      <c r="AM191" s="775">
        <v>1957</v>
      </c>
      <c r="AN191" s="714">
        <v>108</v>
      </c>
      <c r="AT191" s="2206">
        <v>43683</v>
      </c>
      <c r="AU191" s="2199">
        <v>76.099999999999994</v>
      </c>
      <c r="AV191" s="2203">
        <v>45.2</v>
      </c>
    </row>
    <row r="192" spans="1:48" ht="16.5" thickBot="1">
      <c r="A192" s="767">
        <v>29</v>
      </c>
      <c r="B192" s="769">
        <v>40</v>
      </c>
      <c r="C192" s="769">
        <v>169</v>
      </c>
      <c r="D192" s="768"/>
      <c r="H192" s="770">
        <v>27</v>
      </c>
      <c r="I192" s="769" t="s">
        <v>1183</v>
      </c>
      <c r="J192" s="769" t="s">
        <v>1179</v>
      </c>
      <c r="K192" s="769" t="s">
        <v>1086</v>
      </c>
      <c r="L192" s="769" t="s">
        <v>1053</v>
      </c>
      <c r="M192" s="769" t="s">
        <v>1053</v>
      </c>
      <c r="N192" s="769" t="s">
        <v>1176</v>
      </c>
      <c r="O192" s="769" t="s">
        <v>1184</v>
      </c>
      <c r="P192" s="769" t="s">
        <v>1070</v>
      </c>
      <c r="Q192" s="769" t="s">
        <v>1057</v>
      </c>
      <c r="R192" s="769" t="s">
        <v>1185</v>
      </c>
      <c r="S192" s="769" t="s">
        <v>1186</v>
      </c>
      <c r="T192" s="769" t="s">
        <v>1185</v>
      </c>
      <c r="U192" s="768"/>
      <c r="AB192" s="774"/>
      <c r="AC192" s="775"/>
      <c r="AD192" s="714"/>
      <c r="AG192" s="1238">
        <v>43653</v>
      </c>
      <c r="AH192" s="775">
        <v>1925</v>
      </c>
      <c r="AI192" s="714">
        <v>109</v>
      </c>
      <c r="AJ192" s="774">
        <v>42550</v>
      </c>
      <c r="AK192" s="775">
        <v>5558.64</v>
      </c>
      <c r="AL192" s="775">
        <v>6.67</v>
      </c>
      <c r="AM192" s="775">
        <v>1952</v>
      </c>
      <c r="AN192" s="714">
        <v>108</v>
      </c>
      <c r="AT192" s="2206">
        <v>43684</v>
      </c>
      <c r="AU192" s="2199">
        <v>74.5</v>
      </c>
      <c r="AV192" s="2203">
        <v>41.1</v>
      </c>
    </row>
    <row r="193" spans="1:48" ht="16.5" thickBot="1">
      <c r="A193" s="767">
        <v>30</v>
      </c>
      <c r="B193" s="769">
        <v>48</v>
      </c>
      <c r="C193" s="769">
        <v>155</v>
      </c>
      <c r="D193" s="768"/>
      <c r="H193" s="770">
        <v>28</v>
      </c>
      <c r="I193" s="769" t="s">
        <v>1050</v>
      </c>
      <c r="J193" s="769" t="s">
        <v>1187</v>
      </c>
      <c r="K193" s="769" t="s">
        <v>1086</v>
      </c>
      <c r="L193" s="769" t="s">
        <v>1053</v>
      </c>
      <c r="M193" s="769" t="s">
        <v>1053</v>
      </c>
      <c r="N193" s="769" t="s">
        <v>1070</v>
      </c>
      <c r="O193" s="769" t="s">
        <v>1117</v>
      </c>
      <c r="P193" s="769" t="s">
        <v>1174</v>
      </c>
      <c r="Q193" s="769" t="s">
        <v>1076</v>
      </c>
      <c r="R193" s="769" t="s">
        <v>1102</v>
      </c>
      <c r="S193" s="769" t="s">
        <v>1188</v>
      </c>
      <c r="T193" s="769" t="s">
        <v>1189</v>
      </c>
      <c r="U193" s="768"/>
      <c r="AB193" s="774"/>
      <c r="AC193" s="775"/>
      <c r="AD193" s="714"/>
      <c r="AG193" s="1238">
        <v>43654</v>
      </c>
      <c r="AH193" s="775">
        <v>1919</v>
      </c>
      <c r="AI193" s="714">
        <v>109</v>
      </c>
      <c r="AJ193" s="774">
        <v>42551</v>
      </c>
      <c r="AK193" s="775">
        <v>5558.63</v>
      </c>
      <c r="AL193" s="775">
        <v>6.67</v>
      </c>
      <c r="AM193" s="775">
        <v>1951</v>
      </c>
      <c r="AN193" s="714">
        <v>108</v>
      </c>
      <c r="AT193" s="2206">
        <v>43685</v>
      </c>
      <c r="AU193" s="2199">
        <v>69.5</v>
      </c>
      <c r="AV193" s="2203">
        <v>40.4</v>
      </c>
    </row>
    <row r="194" spans="1:48" ht="16.5" thickBot="1">
      <c r="A194" s="767">
        <v>31</v>
      </c>
      <c r="B194" s="769">
        <v>51</v>
      </c>
      <c r="C194" s="768"/>
      <c r="D194" s="768"/>
      <c r="H194" s="770">
        <v>29</v>
      </c>
      <c r="I194" s="769" t="s">
        <v>1050</v>
      </c>
      <c r="J194" s="769" t="s">
        <v>1074</v>
      </c>
      <c r="K194" s="769" t="s">
        <v>1063</v>
      </c>
      <c r="L194" s="768"/>
      <c r="M194" s="769" t="s">
        <v>1053</v>
      </c>
      <c r="N194" s="769" t="s">
        <v>1087</v>
      </c>
      <c r="O194" s="769" t="s">
        <v>1110</v>
      </c>
      <c r="P194" s="769" t="s">
        <v>1070</v>
      </c>
      <c r="Q194" s="769" t="s">
        <v>1094</v>
      </c>
      <c r="R194" s="769" t="s">
        <v>1055</v>
      </c>
      <c r="S194" s="769" t="s">
        <v>1190</v>
      </c>
      <c r="T194" s="769" t="s">
        <v>1132</v>
      </c>
      <c r="U194" s="768"/>
      <c r="AB194" s="774"/>
      <c r="AC194" s="775"/>
      <c r="AD194" s="714"/>
      <c r="AG194" s="1238">
        <v>43655</v>
      </c>
      <c r="AH194" s="775">
        <v>1914</v>
      </c>
      <c r="AI194" s="714">
        <v>109</v>
      </c>
      <c r="AJ194" s="774">
        <v>42552</v>
      </c>
      <c r="AK194" s="775">
        <v>5558.86</v>
      </c>
      <c r="AL194" s="775">
        <v>6.82</v>
      </c>
      <c r="AM194" s="775">
        <v>1977</v>
      </c>
      <c r="AN194" s="714">
        <v>109</v>
      </c>
      <c r="AT194" s="2206">
        <v>43686</v>
      </c>
      <c r="AU194" s="2199">
        <v>74.099999999999994</v>
      </c>
      <c r="AV194" s="2203">
        <v>61.4</v>
      </c>
    </row>
    <row r="195" spans="1:48" ht="16.5" thickBot="1">
      <c r="A195" s="770"/>
      <c r="B195" s="768"/>
      <c r="D195" s="777"/>
      <c r="H195" s="770">
        <v>30</v>
      </c>
      <c r="I195" s="769" t="s">
        <v>1050</v>
      </c>
      <c r="J195" s="769" t="s">
        <v>1074</v>
      </c>
      <c r="K195" s="769" t="s">
        <v>1074</v>
      </c>
      <c r="L195" s="768"/>
      <c r="M195" s="769" t="s">
        <v>1053</v>
      </c>
      <c r="N195" s="769" t="s">
        <v>1054</v>
      </c>
      <c r="O195" s="769" t="s">
        <v>1185</v>
      </c>
      <c r="P195" s="769" t="s">
        <v>1070</v>
      </c>
      <c r="Q195" s="769" t="s">
        <v>1118</v>
      </c>
      <c r="R195" s="769" t="s">
        <v>1058</v>
      </c>
      <c r="S195" s="769" t="s">
        <v>1105</v>
      </c>
      <c r="T195" s="769" t="s">
        <v>1189</v>
      </c>
      <c r="U195" s="768"/>
      <c r="AB195" s="774"/>
      <c r="AC195" s="775"/>
      <c r="AD195" s="714"/>
      <c r="AG195" s="1238">
        <v>43656</v>
      </c>
      <c r="AH195" s="775">
        <v>1901</v>
      </c>
      <c r="AI195" s="714">
        <v>108</v>
      </c>
      <c r="AJ195" s="774">
        <v>42553</v>
      </c>
      <c r="AK195" s="775">
        <v>5559.06</v>
      </c>
      <c r="AL195" s="775">
        <v>6.9</v>
      </c>
      <c r="AM195" s="775">
        <v>1998</v>
      </c>
      <c r="AN195" s="714">
        <v>110</v>
      </c>
      <c r="AT195" s="2206">
        <v>43687</v>
      </c>
      <c r="AU195" s="2199">
        <v>73.3</v>
      </c>
      <c r="AV195" s="2203">
        <v>41.9</v>
      </c>
    </row>
    <row r="196" spans="1:48" ht="16.5" thickBot="1">
      <c r="A196" s="770" t="s">
        <v>482</v>
      </c>
      <c r="B196" s="770">
        <v>3</v>
      </c>
      <c r="C196" s="770">
        <v>30</v>
      </c>
      <c r="D196" s="770">
        <v>7</v>
      </c>
      <c r="H196" s="770">
        <v>31</v>
      </c>
      <c r="I196" s="768"/>
      <c r="J196" s="769" t="s">
        <v>1166</v>
      </c>
      <c r="K196" s="769" t="s">
        <v>1063</v>
      </c>
      <c r="L196" s="768"/>
      <c r="M196" s="769" t="s">
        <v>1053</v>
      </c>
      <c r="N196" s="768"/>
      <c r="O196" s="769" t="s">
        <v>1095</v>
      </c>
      <c r="P196" s="768"/>
      <c r="Q196" s="769" t="s">
        <v>1076</v>
      </c>
      <c r="R196" s="769" t="s">
        <v>1185</v>
      </c>
      <c r="S196" s="768"/>
      <c r="T196" s="769" t="s">
        <v>1191</v>
      </c>
      <c r="U196" s="768"/>
      <c r="AB196" s="774"/>
      <c r="AC196" s="775"/>
      <c r="AD196" s="714"/>
      <c r="AG196" s="1238">
        <v>43657</v>
      </c>
      <c r="AH196" s="775">
        <v>1896</v>
      </c>
      <c r="AI196" s="714">
        <v>108</v>
      </c>
      <c r="AJ196" s="774">
        <v>42554</v>
      </c>
      <c r="AK196" s="775">
        <v>5558.99</v>
      </c>
      <c r="AL196" s="775">
        <v>6.91</v>
      </c>
      <c r="AM196" s="775">
        <v>1991</v>
      </c>
      <c r="AN196" s="714">
        <v>110</v>
      </c>
      <c r="AT196" s="2206">
        <v>43688</v>
      </c>
      <c r="AU196" s="2199">
        <v>70.900000000000006</v>
      </c>
      <c r="AV196" s="2203">
        <v>44.3</v>
      </c>
    </row>
    <row r="197" spans="1:48" ht="15" thickBot="1">
      <c r="A197" s="770" t="s">
        <v>259</v>
      </c>
      <c r="B197" s="770">
        <v>51</v>
      </c>
      <c r="C197" s="770">
        <v>1140</v>
      </c>
      <c r="D197" s="770">
        <v>142</v>
      </c>
      <c r="H197" s="770"/>
      <c r="I197" s="768"/>
      <c r="U197" s="777"/>
      <c r="AB197" s="774"/>
      <c r="AC197" s="775"/>
      <c r="AD197" s="714"/>
      <c r="AG197" s="1238">
        <v>43658</v>
      </c>
      <c r="AH197" s="775">
        <v>1893</v>
      </c>
      <c r="AI197" s="714">
        <v>108</v>
      </c>
      <c r="AJ197" s="774">
        <v>42555</v>
      </c>
      <c r="AK197" s="775">
        <v>5558.84</v>
      </c>
      <c r="AL197" s="775">
        <v>6.91</v>
      </c>
      <c r="AM197" s="775">
        <v>1974</v>
      </c>
      <c r="AN197" s="714">
        <v>109</v>
      </c>
      <c r="AT197" s="2206">
        <v>43689</v>
      </c>
      <c r="AU197" s="2199">
        <v>74.900000000000006</v>
      </c>
      <c r="AV197" s="2203">
        <v>41.7</v>
      </c>
    </row>
    <row r="198" spans="1:48" ht="15" thickBot="1">
      <c r="A198" s="770" t="s">
        <v>260</v>
      </c>
      <c r="B198" s="770">
        <v>40</v>
      </c>
      <c r="C198" s="770">
        <v>39</v>
      </c>
      <c r="D198" s="770">
        <v>106</v>
      </c>
      <c r="H198" s="770" t="s">
        <v>482</v>
      </c>
      <c r="I198" s="770">
        <v>17</v>
      </c>
      <c r="J198" s="770">
        <v>31</v>
      </c>
      <c r="K198" s="770">
        <v>31</v>
      </c>
      <c r="L198" s="770">
        <v>28</v>
      </c>
      <c r="M198" s="770"/>
      <c r="N198" s="770">
        <v>30</v>
      </c>
      <c r="O198" s="770">
        <v>31</v>
      </c>
      <c r="P198" s="770">
        <v>30</v>
      </c>
      <c r="Q198" s="770">
        <v>31</v>
      </c>
      <c r="R198" s="770">
        <v>31</v>
      </c>
      <c r="S198" s="770">
        <v>30</v>
      </c>
      <c r="T198" s="770">
        <v>31</v>
      </c>
      <c r="U198" s="770">
        <v>14</v>
      </c>
      <c r="AB198" s="774"/>
      <c r="AC198" s="775"/>
      <c r="AD198" s="714"/>
      <c r="AG198" s="1238">
        <v>43659</v>
      </c>
      <c r="AH198" s="775">
        <v>1889</v>
      </c>
      <c r="AI198" s="714">
        <v>108</v>
      </c>
      <c r="AJ198" s="774">
        <v>42556</v>
      </c>
      <c r="AK198" s="775">
        <v>5558.82</v>
      </c>
      <c r="AL198" s="775">
        <v>6.91</v>
      </c>
      <c r="AM198" s="775">
        <v>1971</v>
      </c>
      <c r="AN198" s="714">
        <v>109</v>
      </c>
      <c r="AT198" s="2206">
        <v>43690</v>
      </c>
      <c r="AU198" s="2199">
        <v>73.400000000000006</v>
      </c>
      <c r="AV198" s="2203">
        <v>34.6</v>
      </c>
    </row>
    <row r="199" spans="1:48" ht="16" thickBot="1">
      <c r="A199" s="712" t="s">
        <v>261</v>
      </c>
      <c r="C199" s="780">
        <f>AVERAGE(C164:C193)</f>
        <v>335.5</v>
      </c>
      <c r="H199" s="770" t="s">
        <v>259</v>
      </c>
      <c r="I199" s="770">
        <v>23</v>
      </c>
      <c r="J199" s="770">
        <v>20</v>
      </c>
      <c r="K199" s="770">
        <v>6.7</v>
      </c>
      <c r="L199" s="770">
        <v>6</v>
      </c>
      <c r="M199" s="770"/>
      <c r="N199" s="770">
        <v>30</v>
      </c>
      <c r="O199" s="770">
        <v>108</v>
      </c>
      <c r="P199" s="770">
        <v>56</v>
      </c>
      <c r="Q199" s="770">
        <v>66</v>
      </c>
      <c r="R199" s="770">
        <v>51</v>
      </c>
      <c r="S199" s="770">
        <v>1140</v>
      </c>
      <c r="T199" s="770">
        <v>142</v>
      </c>
      <c r="U199" s="770">
        <v>46</v>
      </c>
      <c r="AB199" s="774"/>
      <c r="AC199" s="775"/>
      <c r="AD199" s="714"/>
      <c r="AG199" s="1238">
        <v>43660</v>
      </c>
      <c r="AH199" s="775">
        <v>1895</v>
      </c>
      <c r="AI199" s="714">
        <v>108</v>
      </c>
      <c r="AJ199" s="774">
        <v>42557</v>
      </c>
      <c r="AK199" s="775">
        <v>5558.8</v>
      </c>
      <c r="AL199" s="775">
        <v>6.91</v>
      </c>
      <c r="AM199" s="775">
        <v>1969</v>
      </c>
      <c r="AN199" s="714">
        <v>109</v>
      </c>
      <c r="AT199" s="2206">
        <v>43691</v>
      </c>
      <c r="AU199" s="2199">
        <v>73</v>
      </c>
      <c r="AV199" s="2203">
        <v>30.7</v>
      </c>
    </row>
    <row r="200" spans="1:48" ht="15" thickBot="1">
      <c r="H200" s="770" t="s">
        <v>260</v>
      </c>
      <c r="I200" s="770">
        <v>13</v>
      </c>
      <c r="J200" s="770">
        <v>5</v>
      </c>
      <c r="K200" s="770">
        <v>4.9000000000000004</v>
      </c>
      <c r="L200" s="770" t="s">
        <v>496</v>
      </c>
      <c r="M200" s="770"/>
      <c r="N200" s="770" t="s">
        <v>496</v>
      </c>
      <c r="O200" s="770">
        <v>22</v>
      </c>
      <c r="P200" s="770">
        <v>21</v>
      </c>
      <c r="Q200" s="770">
        <v>21</v>
      </c>
      <c r="R200" s="770">
        <v>22</v>
      </c>
      <c r="S200" s="770">
        <v>39</v>
      </c>
      <c r="T200" s="770">
        <v>47</v>
      </c>
      <c r="U200" s="770">
        <v>36</v>
      </c>
      <c r="AB200" s="774"/>
      <c r="AC200" s="775"/>
      <c r="AD200" s="714"/>
      <c r="AG200" s="1238">
        <v>43661</v>
      </c>
      <c r="AH200" s="775">
        <v>1907</v>
      </c>
      <c r="AI200" s="714">
        <v>109</v>
      </c>
      <c r="AJ200" s="774">
        <v>42558</v>
      </c>
      <c r="AK200" s="775">
        <v>5558.71</v>
      </c>
      <c r="AL200" s="775">
        <v>6.91</v>
      </c>
      <c r="AM200" s="775">
        <v>1960</v>
      </c>
      <c r="AN200" s="714">
        <v>108</v>
      </c>
      <c r="AT200" s="2206">
        <v>43692</v>
      </c>
      <c r="AU200" s="2199">
        <v>76.900000000000006</v>
      </c>
      <c r="AV200" s="2203">
        <v>29</v>
      </c>
    </row>
    <row r="201" spans="1:48" ht="15" thickBot="1">
      <c r="AB201" s="774"/>
      <c r="AC201" s="775"/>
      <c r="AD201" s="714"/>
      <c r="AG201" s="1238">
        <v>43662</v>
      </c>
      <c r="AH201" s="775">
        <v>1910</v>
      </c>
      <c r="AI201" s="714">
        <v>109</v>
      </c>
      <c r="AJ201" s="774">
        <v>42559</v>
      </c>
      <c r="AK201" s="775">
        <v>5558.67</v>
      </c>
      <c r="AL201" s="775">
        <v>6.91</v>
      </c>
      <c r="AM201" s="775">
        <v>1955</v>
      </c>
      <c r="AN201" s="714">
        <v>108</v>
      </c>
      <c r="AT201" s="2206">
        <v>43693</v>
      </c>
      <c r="AU201" s="2199">
        <v>70.2</v>
      </c>
      <c r="AV201" s="2203">
        <v>27.9</v>
      </c>
    </row>
    <row r="202" spans="1:48" ht="15" thickBot="1">
      <c r="AB202" s="774"/>
      <c r="AC202" s="775"/>
      <c r="AD202" s="714"/>
      <c r="AG202" s="1238">
        <v>43663</v>
      </c>
      <c r="AH202" s="775">
        <v>1903</v>
      </c>
      <c r="AI202" s="714">
        <v>109</v>
      </c>
      <c r="AJ202" s="774">
        <v>42560</v>
      </c>
      <c r="AK202" s="775">
        <v>5558.64</v>
      </c>
      <c r="AL202" s="775">
        <v>6.91</v>
      </c>
      <c r="AM202" s="775">
        <v>1952</v>
      </c>
      <c r="AN202" s="714">
        <v>108</v>
      </c>
      <c r="AT202" s="2206">
        <v>43694</v>
      </c>
      <c r="AU202" s="2199">
        <v>71.400000000000006</v>
      </c>
      <c r="AV202" s="2203">
        <v>26.7</v>
      </c>
    </row>
    <row r="203" spans="1:48" ht="15" thickBot="1">
      <c r="A203" s="712">
        <v>41275</v>
      </c>
      <c r="B203" s="710">
        <v>2.4700000000000002</v>
      </c>
      <c r="AB203" s="774"/>
      <c r="AC203" s="775"/>
      <c r="AD203" s="714"/>
      <c r="AG203" s="1238">
        <v>43664</v>
      </c>
      <c r="AH203" s="775">
        <v>1895</v>
      </c>
      <c r="AI203" s="714">
        <v>108</v>
      </c>
      <c r="AJ203" s="774">
        <v>42561</v>
      </c>
      <c r="AK203" s="775">
        <v>5558.6</v>
      </c>
      <c r="AL203" s="775">
        <v>6.91</v>
      </c>
      <c r="AM203" s="775">
        <v>1948</v>
      </c>
      <c r="AN203" s="714">
        <v>108</v>
      </c>
      <c r="AT203" s="2206">
        <v>43695</v>
      </c>
      <c r="AU203" s="2199">
        <v>70.400000000000006</v>
      </c>
      <c r="AV203" s="2203">
        <v>26.2</v>
      </c>
    </row>
    <row r="204" spans="1:48" ht="15" thickBot="1">
      <c r="A204" s="712" t="s">
        <v>492</v>
      </c>
      <c r="B204" s="711">
        <v>41276</v>
      </c>
      <c r="C204" s="710">
        <v>2.7</v>
      </c>
      <c r="F204" s="781"/>
      <c r="AB204" s="774"/>
      <c r="AC204" s="775"/>
      <c r="AD204" s="714"/>
      <c r="AG204" s="1238">
        <v>43665</v>
      </c>
      <c r="AH204" s="775">
        <v>1888</v>
      </c>
      <c r="AI204" s="714">
        <v>108</v>
      </c>
      <c r="AJ204" s="774">
        <v>42562</v>
      </c>
      <c r="AK204" s="775">
        <v>5558.56</v>
      </c>
      <c r="AL204" s="775">
        <v>6.91</v>
      </c>
      <c r="AM204" s="775">
        <v>1943</v>
      </c>
      <c r="AN204" s="714">
        <v>108</v>
      </c>
      <c r="AT204" s="2206">
        <v>43696</v>
      </c>
      <c r="AU204" s="2199">
        <v>77.3</v>
      </c>
      <c r="AV204" s="2203">
        <v>25</v>
      </c>
    </row>
    <row r="205" spans="1:48" ht="15" thickBot="1">
      <c r="A205" s="712" t="s">
        <v>492</v>
      </c>
      <c r="B205" s="711">
        <v>41277</v>
      </c>
      <c r="C205" s="710">
        <v>2.97</v>
      </c>
      <c r="F205" s="781"/>
      <c r="AB205" s="774"/>
      <c r="AC205" s="775"/>
      <c r="AD205" s="714"/>
      <c r="AG205" s="1238">
        <v>43666</v>
      </c>
      <c r="AH205" s="775">
        <v>1884</v>
      </c>
      <c r="AI205" s="714">
        <v>108</v>
      </c>
      <c r="AJ205" s="774">
        <v>42563</v>
      </c>
      <c r="AK205" s="775">
        <v>5558.53</v>
      </c>
      <c r="AL205" s="775">
        <v>6.91</v>
      </c>
      <c r="AM205" s="775">
        <v>1940</v>
      </c>
      <c r="AN205" s="714">
        <v>108</v>
      </c>
      <c r="AT205" s="2206">
        <v>43697</v>
      </c>
      <c r="AU205" s="2199">
        <v>79</v>
      </c>
      <c r="AV205" s="2203">
        <v>24.1</v>
      </c>
    </row>
    <row r="206" spans="1:48" ht="15" thickBot="1">
      <c r="A206" s="712" t="s">
        <v>492</v>
      </c>
      <c r="B206" s="711">
        <v>41278</v>
      </c>
      <c r="C206" s="710">
        <v>3</v>
      </c>
      <c r="F206" s="781"/>
      <c r="AB206" s="774"/>
      <c r="AC206" s="775"/>
      <c r="AD206" s="714"/>
      <c r="AG206" s="1238">
        <v>43667</v>
      </c>
      <c r="AH206" s="775">
        <v>1895</v>
      </c>
      <c r="AI206" s="714">
        <v>108</v>
      </c>
      <c r="AJ206" s="774">
        <v>42564</v>
      </c>
      <c r="AK206" s="775">
        <v>5558.51</v>
      </c>
      <c r="AL206" s="775">
        <v>6.91</v>
      </c>
      <c r="AM206" s="775">
        <v>1938</v>
      </c>
      <c r="AN206" s="714">
        <v>108</v>
      </c>
      <c r="AT206" s="2206">
        <v>43698</v>
      </c>
      <c r="AU206" s="2199">
        <v>68.099999999999994</v>
      </c>
      <c r="AV206" s="2203">
        <v>24.4</v>
      </c>
    </row>
    <row r="207" spans="1:48" ht="15" thickBot="1">
      <c r="A207" s="712" t="s">
        <v>492</v>
      </c>
      <c r="B207" s="711">
        <v>41279</v>
      </c>
      <c r="C207" s="710">
        <v>3</v>
      </c>
      <c r="AB207" s="774"/>
      <c r="AC207" s="775"/>
      <c r="AD207" s="714"/>
      <c r="AG207" s="1238">
        <v>43668</v>
      </c>
      <c r="AH207" s="775">
        <v>1906</v>
      </c>
      <c r="AI207" s="714">
        <v>109</v>
      </c>
      <c r="AJ207" s="774">
        <v>42565</v>
      </c>
      <c r="AK207" s="775">
        <v>5558.5</v>
      </c>
      <c r="AL207" s="775">
        <v>6.91</v>
      </c>
      <c r="AM207" s="775">
        <v>1937</v>
      </c>
      <c r="AN207" s="714">
        <v>108</v>
      </c>
      <c r="AT207" s="2206">
        <v>43699</v>
      </c>
      <c r="AU207" s="2199">
        <v>68.099999999999994</v>
      </c>
      <c r="AV207" s="2203">
        <v>31.8</v>
      </c>
    </row>
    <row r="208" spans="1:48" ht="15" thickBot="1">
      <c r="A208" s="712" t="s">
        <v>492</v>
      </c>
      <c r="B208" s="711">
        <v>41280</v>
      </c>
      <c r="C208" s="710">
        <v>3.21</v>
      </c>
      <c r="AB208" s="774"/>
      <c r="AC208" s="775"/>
      <c r="AD208" s="714"/>
      <c r="AG208" s="1238">
        <v>43669</v>
      </c>
      <c r="AH208" s="775">
        <v>1897</v>
      </c>
      <c r="AI208" s="714">
        <v>108</v>
      </c>
      <c r="AJ208" s="774">
        <v>42566</v>
      </c>
      <c r="AK208" s="775">
        <v>5558.5</v>
      </c>
      <c r="AL208" s="775">
        <v>6.91</v>
      </c>
      <c r="AM208" s="775">
        <v>1937</v>
      </c>
      <c r="AN208" s="714">
        <v>108</v>
      </c>
      <c r="AT208" s="2206">
        <v>43700</v>
      </c>
      <c r="AU208" s="2199">
        <v>71.3</v>
      </c>
      <c r="AV208" s="2203">
        <v>27.1</v>
      </c>
    </row>
    <row r="209" spans="1:48" ht="15" thickBot="1">
      <c r="A209" s="712" t="s">
        <v>492</v>
      </c>
      <c r="B209" s="711">
        <v>41281</v>
      </c>
      <c r="C209" s="710">
        <v>3.51</v>
      </c>
      <c r="AB209" s="774"/>
      <c r="AC209" s="775"/>
      <c r="AD209" s="714"/>
      <c r="AG209" s="1238">
        <v>43670</v>
      </c>
      <c r="AH209" s="775">
        <v>1889</v>
      </c>
      <c r="AI209" s="714">
        <v>108</v>
      </c>
      <c r="AJ209" s="774">
        <v>42567</v>
      </c>
      <c r="AK209" s="775">
        <v>5558.51</v>
      </c>
      <c r="AL209" s="775">
        <v>6.92</v>
      </c>
      <c r="AM209" s="775">
        <v>1938</v>
      </c>
      <c r="AN209" s="714">
        <v>108</v>
      </c>
      <c r="AT209" s="2206">
        <v>43701</v>
      </c>
      <c r="AU209" s="2199">
        <v>66.5</v>
      </c>
      <c r="AV209" s="2203">
        <v>24.2</v>
      </c>
    </row>
    <row r="210" spans="1:48" ht="15" thickBot="1">
      <c r="A210" s="712" t="s">
        <v>492</v>
      </c>
      <c r="B210" s="711">
        <v>41282</v>
      </c>
      <c r="C210" s="710">
        <v>3.59</v>
      </c>
      <c r="AB210" s="774"/>
      <c r="AC210" s="775"/>
      <c r="AD210" s="714"/>
      <c r="AG210" s="1238">
        <v>43671</v>
      </c>
      <c r="AH210" s="775">
        <v>1884</v>
      </c>
      <c r="AI210" s="714">
        <v>108</v>
      </c>
      <c r="AJ210" s="774">
        <v>42568</v>
      </c>
      <c r="AK210" s="775">
        <v>5558.48</v>
      </c>
      <c r="AL210" s="775">
        <v>6.92</v>
      </c>
      <c r="AM210" s="775">
        <v>1934</v>
      </c>
      <c r="AN210" s="714">
        <v>108</v>
      </c>
      <c r="AT210" s="2206">
        <v>43702</v>
      </c>
      <c r="AU210" s="2199">
        <v>76.7</v>
      </c>
      <c r="AV210" s="2203">
        <v>22.5</v>
      </c>
    </row>
    <row r="211" spans="1:48" ht="15" thickBot="1">
      <c r="A211" s="712" t="s">
        <v>492</v>
      </c>
      <c r="B211" s="711">
        <v>41283</v>
      </c>
      <c r="C211" s="710">
        <v>3.6</v>
      </c>
      <c r="AB211" s="774"/>
      <c r="AC211" s="775"/>
      <c r="AD211" s="714"/>
      <c r="AG211" s="1238">
        <v>43672</v>
      </c>
      <c r="AH211" s="775">
        <v>1891</v>
      </c>
      <c r="AI211" s="714">
        <v>108</v>
      </c>
      <c r="AJ211" s="774">
        <v>42569</v>
      </c>
      <c r="AK211" s="775">
        <v>5558.46</v>
      </c>
      <c r="AL211" s="775">
        <v>6.94</v>
      </c>
      <c r="AM211" s="775">
        <v>1932</v>
      </c>
      <c r="AN211" s="714">
        <v>108</v>
      </c>
      <c r="AT211" s="2206">
        <v>43703</v>
      </c>
      <c r="AU211" s="2199">
        <v>67</v>
      </c>
      <c r="AV211" s="2203">
        <v>21</v>
      </c>
    </row>
    <row r="212" spans="1:48" ht="15" thickBot="1">
      <c r="A212" s="712" t="s">
        <v>492</v>
      </c>
      <c r="B212" s="711">
        <v>41284</v>
      </c>
      <c r="C212" s="710">
        <v>3.6</v>
      </c>
      <c r="AB212" s="774"/>
      <c r="AC212" s="775"/>
      <c r="AD212" s="714"/>
      <c r="AG212" s="1238">
        <v>43673</v>
      </c>
      <c r="AH212" s="775">
        <v>1890</v>
      </c>
      <c r="AI212" s="714">
        <v>108</v>
      </c>
      <c r="AJ212" s="774">
        <v>42570</v>
      </c>
      <c r="AK212" s="775">
        <v>5558.47</v>
      </c>
      <c r="AL212" s="775">
        <v>7.09</v>
      </c>
      <c r="AM212" s="775">
        <v>1933</v>
      </c>
      <c r="AN212" s="714">
        <v>108</v>
      </c>
      <c r="AT212" s="2206">
        <v>43704</v>
      </c>
      <c r="AU212" s="2199">
        <v>63.2</v>
      </c>
      <c r="AV212" s="2203">
        <v>21.1</v>
      </c>
    </row>
    <row r="213" spans="1:48" ht="15" thickBot="1">
      <c r="A213" s="712" t="s">
        <v>492</v>
      </c>
      <c r="B213" s="711">
        <v>41285</v>
      </c>
      <c r="C213" s="710">
        <v>3.61</v>
      </c>
      <c r="AB213" s="774"/>
      <c r="AC213" s="775"/>
      <c r="AD213" s="714"/>
      <c r="AG213" s="1238">
        <v>43674</v>
      </c>
      <c r="AH213" s="775">
        <v>1889</v>
      </c>
      <c r="AI213" s="714">
        <v>108</v>
      </c>
      <c r="AJ213" s="774">
        <v>42571</v>
      </c>
      <c r="AK213" s="775">
        <v>5558.56</v>
      </c>
      <c r="AL213" s="775">
        <v>7.39</v>
      </c>
      <c r="AM213" s="775">
        <v>1943</v>
      </c>
      <c r="AN213" s="714">
        <v>108</v>
      </c>
      <c r="AT213" s="2206">
        <v>43705</v>
      </c>
      <c r="AU213" s="2199">
        <v>70.900000000000006</v>
      </c>
      <c r="AV213" s="2203">
        <v>20.8</v>
      </c>
    </row>
    <row r="214" spans="1:48" ht="15" thickBot="1">
      <c r="A214" s="712" t="s">
        <v>492</v>
      </c>
      <c r="B214" s="711">
        <v>41286</v>
      </c>
      <c r="C214" s="710">
        <v>4.17</v>
      </c>
      <c r="AB214" s="774"/>
      <c r="AC214" s="775"/>
      <c r="AD214" s="714"/>
      <c r="AG214" s="1238">
        <v>43675</v>
      </c>
      <c r="AH214" s="775">
        <v>1883</v>
      </c>
      <c r="AI214" s="714">
        <v>108</v>
      </c>
      <c r="AJ214" s="774">
        <v>42572</v>
      </c>
      <c r="AK214" s="775">
        <v>5558.52</v>
      </c>
      <c r="AL214" s="775">
        <v>7.39</v>
      </c>
      <c r="AM214" s="775">
        <v>1939</v>
      </c>
      <c r="AN214" s="714">
        <v>108</v>
      </c>
      <c r="AT214" s="2206">
        <v>43706</v>
      </c>
      <c r="AU214" s="2199">
        <v>72.8</v>
      </c>
      <c r="AV214" s="2203">
        <v>19.3</v>
      </c>
    </row>
    <row r="215" spans="1:48" ht="15" thickBot="1">
      <c r="A215" s="712" t="s">
        <v>492</v>
      </c>
      <c r="B215" s="711">
        <v>41287</v>
      </c>
      <c r="C215" s="710">
        <v>4.8600000000000003</v>
      </c>
      <c r="AB215" s="774"/>
      <c r="AC215" s="775"/>
      <c r="AD215" s="714"/>
      <c r="AG215" s="1238">
        <v>43676</v>
      </c>
      <c r="AH215" s="775">
        <v>1877</v>
      </c>
      <c r="AI215" s="714">
        <v>108</v>
      </c>
      <c r="AJ215" s="774">
        <v>42573</v>
      </c>
      <c r="AK215" s="775">
        <v>5558.47</v>
      </c>
      <c r="AL215" s="775">
        <v>7.46</v>
      </c>
      <c r="AM215" s="775">
        <v>1934</v>
      </c>
      <c r="AN215" s="714">
        <v>108</v>
      </c>
      <c r="AT215" s="2206">
        <v>43707</v>
      </c>
      <c r="AU215" s="2199">
        <v>67.599999999999994</v>
      </c>
      <c r="AV215" s="2203">
        <v>20.100000000000001</v>
      </c>
    </row>
    <row r="216" spans="1:48" ht="15" thickBot="1">
      <c r="A216" s="712" t="s">
        <v>492</v>
      </c>
      <c r="B216" s="711">
        <v>41288</v>
      </c>
      <c r="C216" s="710">
        <v>5.13</v>
      </c>
      <c r="AB216" s="774"/>
      <c r="AC216" s="775"/>
      <c r="AD216" s="714"/>
      <c r="AG216" s="1238">
        <v>43677</v>
      </c>
      <c r="AH216" s="775">
        <v>1875</v>
      </c>
      <c r="AI216" s="714">
        <v>108</v>
      </c>
      <c r="AJ216" s="774">
        <v>42574</v>
      </c>
      <c r="AK216" s="775">
        <v>5558.5</v>
      </c>
      <c r="AL216" s="775">
        <v>7.69</v>
      </c>
      <c r="AM216" s="775">
        <v>1937</v>
      </c>
      <c r="AN216" s="714">
        <v>108</v>
      </c>
      <c r="AT216" s="2206">
        <v>43708</v>
      </c>
      <c r="AU216" s="2199">
        <v>71.5</v>
      </c>
      <c r="AV216" s="2203">
        <v>19.2</v>
      </c>
    </row>
    <row r="217" spans="1:48" ht="15" thickBot="1">
      <c r="A217" s="712" t="s">
        <v>492</v>
      </c>
      <c r="B217" s="711">
        <v>41289</v>
      </c>
      <c r="C217" s="710">
        <v>5.46</v>
      </c>
      <c r="AB217" s="774"/>
      <c r="AC217" s="775"/>
      <c r="AD217" s="714"/>
      <c r="AG217" s="1238">
        <v>43678</v>
      </c>
      <c r="AH217" s="775">
        <v>1876</v>
      </c>
      <c r="AI217" s="714">
        <v>108</v>
      </c>
      <c r="AJ217" s="774">
        <v>42575</v>
      </c>
      <c r="AK217" s="775">
        <v>5558.45</v>
      </c>
      <c r="AL217" s="775">
        <v>7.69</v>
      </c>
      <c r="AM217" s="775">
        <v>1931</v>
      </c>
      <c r="AN217" s="714">
        <v>108</v>
      </c>
      <c r="AT217" s="2206">
        <v>43709</v>
      </c>
      <c r="AU217" s="2199">
        <v>76.7</v>
      </c>
      <c r="AV217" s="2203">
        <v>17.899999999999999</v>
      </c>
    </row>
    <row r="218" spans="1:48" ht="15" thickBot="1">
      <c r="A218" s="712" t="s">
        <v>492</v>
      </c>
      <c r="B218" s="711">
        <v>41290</v>
      </c>
      <c r="C218" s="710">
        <v>7.77</v>
      </c>
      <c r="AB218" s="774"/>
      <c r="AC218" s="775"/>
      <c r="AD218" s="714"/>
      <c r="AG218" s="1238">
        <v>43679</v>
      </c>
      <c r="AH218" s="775">
        <v>1886</v>
      </c>
      <c r="AI218" s="714">
        <v>108</v>
      </c>
      <c r="AJ218" s="774">
        <v>42576</v>
      </c>
      <c r="AK218" s="775">
        <v>5558.4</v>
      </c>
      <c r="AL218" s="775">
        <v>7.69</v>
      </c>
      <c r="AM218" s="775">
        <v>1925</v>
      </c>
      <c r="AN218" s="714">
        <v>107</v>
      </c>
      <c r="AT218" s="2206">
        <v>43710</v>
      </c>
      <c r="AU218" s="2199">
        <v>79</v>
      </c>
      <c r="AV218" s="2203">
        <v>16.2</v>
      </c>
    </row>
    <row r="219" spans="1:48" ht="15" thickBot="1">
      <c r="A219" s="712" t="s">
        <v>492</v>
      </c>
      <c r="B219" s="711">
        <v>41433</v>
      </c>
      <c r="C219" s="710">
        <v>43.7</v>
      </c>
      <c r="AB219" s="774"/>
      <c r="AC219" s="775"/>
      <c r="AD219" s="714"/>
      <c r="AG219" s="1238">
        <v>43680</v>
      </c>
      <c r="AH219" s="775">
        <v>1885</v>
      </c>
      <c r="AI219" s="714">
        <v>108</v>
      </c>
      <c r="AJ219" s="774">
        <v>42577</v>
      </c>
      <c r="AK219" s="775">
        <v>5558.32</v>
      </c>
      <c r="AL219" s="775">
        <v>7.69</v>
      </c>
      <c r="AM219" s="775">
        <v>1917</v>
      </c>
      <c r="AN219" s="714">
        <v>107</v>
      </c>
      <c r="AT219" s="2206">
        <v>43711</v>
      </c>
      <c r="AU219" s="2199">
        <v>72.599999999999994</v>
      </c>
      <c r="AV219" s="2203">
        <v>15.8</v>
      </c>
    </row>
    <row r="220" spans="1:48" ht="15" thickBot="1">
      <c r="A220" s="712" t="s">
        <v>492</v>
      </c>
      <c r="B220" s="711">
        <v>41434</v>
      </c>
      <c r="C220" s="710">
        <v>39.6</v>
      </c>
      <c r="AB220" s="774"/>
      <c r="AC220" s="775"/>
      <c r="AD220" s="714"/>
      <c r="AG220" s="1238">
        <v>43681</v>
      </c>
      <c r="AH220" s="775">
        <v>1880</v>
      </c>
      <c r="AI220" s="714">
        <v>108</v>
      </c>
      <c r="AJ220" s="774">
        <v>42578</v>
      </c>
      <c r="AK220" s="775">
        <v>5558.29</v>
      </c>
      <c r="AL220" s="775">
        <v>7.69</v>
      </c>
      <c r="AM220" s="775">
        <v>1914</v>
      </c>
      <c r="AN220" s="714">
        <v>107</v>
      </c>
      <c r="AT220" s="2206">
        <v>43712</v>
      </c>
      <c r="AU220" s="2199">
        <v>71.599999999999994</v>
      </c>
      <c r="AV220" s="2203">
        <v>16</v>
      </c>
    </row>
    <row r="221" spans="1:48" ht="15" thickBot="1">
      <c r="A221" s="712" t="s">
        <v>492</v>
      </c>
      <c r="B221" s="711">
        <v>41435</v>
      </c>
      <c r="C221" s="710">
        <v>34.1</v>
      </c>
      <c r="AB221" s="774"/>
      <c r="AC221" s="775"/>
      <c r="AD221" s="714"/>
      <c r="AG221" s="1238">
        <v>43682</v>
      </c>
      <c r="AH221" s="775">
        <v>1883</v>
      </c>
      <c r="AI221" s="714">
        <v>108</v>
      </c>
      <c r="AJ221" s="774">
        <v>42579</v>
      </c>
      <c r="AK221" s="775">
        <v>5558.3</v>
      </c>
      <c r="AL221" s="775">
        <v>7.69</v>
      </c>
      <c r="AM221" s="775">
        <v>1915</v>
      </c>
      <c r="AN221" s="714">
        <v>107</v>
      </c>
      <c r="AT221" s="2206">
        <v>43713</v>
      </c>
      <c r="AU221" s="2199">
        <v>77.5</v>
      </c>
      <c r="AV221" s="2203">
        <v>16</v>
      </c>
    </row>
    <row r="222" spans="1:48" ht="15" thickBot="1">
      <c r="A222" s="712" t="s">
        <v>492</v>
      </c>
      <c r="B222" s="711">
        <v>41436</v>
      </c>
      <c r="C222" s="710">
        <v>27.1</v>
      </c>
      <c r="AB222" s="774"/>
      <c r="AC222" s="775"/>
      <c r="AD222" s="714"/>
      <c r="AG222" s="1238">
        <v>43683</v>
      </c>
      <c r="AH222" s="775">
        <v>1881</v>
      </c>
      <c r="AI222" s="714">
        <v>108</v>
      </c>
      <c r="AJ222" s="774">
        <v>42580</v>
      </c>
      <c r="AK222" s="775">
        <v>5558.29</v>
      </c>
      <c r="AL222" s="775">
        <v>7.69</v>
      </c>
      <c r="AM222" s="775">
        <v>1914</v>
      </c>
      <c r="AN222" s="714">
        <v>107</v>
      </c>
      <c r="AT222" s="2206">
        <v>43714</v>
      </c>
      <c r="AU222" s="2199">
        <v>67.900000000000006</v>
      </c>
      <c r="AV222" s="2203">
        <v>20.3</v>
      </c>
    </row>
    <row r="223" spans="1:48" ht="15" thickBot="1">
      <c r="A223" s="712" t="s">
        <v>492</v>
      </c>
      <c r="B223" s="711">
        <v>41437</v>
      </c>
      <c r="C223" s="710">
        <v>22.1</v>
      </c>
      <c r="AB223" s="774"/>
      <c r="AC223" s="775"/>
      <c r="AD223" s="714"/>
      <c r="AG223" s="1238">
        <v>43684</v>
      </c>
      <c r="AH223" s="775">
        <v>1872</v>
      </c>
      <c r="AI223" s="714">
        <v>108</v>
      </c>
      <c r="AJ223" s="774">
        <v>42581</v>
      </c>
      <c r="AK223" s="775">
        <v>5558.29</v>
      </c>
      <c r="AL223" s="775">
        <v>7.69</v>
      </c>
      <c r="AM223" s="775">
        <v>1914</v>
      </c>
      <c r="AN223" s="714">
        <v>107</v>
      </c>
      <c r="AT223" s="2206">
        <v>43715</v>
      </c>
      <c r="AU223" s="2199">
        <v>71.3</v>
      </c>
      <c r="AV223" s="2203">
        <v>21.6</v>
      </c>
    </row>
    <row r="224" spans="1:48" ht="15" thickBot="1">
      <c r="A224" s="712" t="s">
        <v>492</v>
      </c>
      <c r="B224" s="711">
        <v>41438</v>
      </c>
      <c r="C224" s="710">
        <v>19</v>
      </c>
      <c r="AB224" s="774"/>
      <c r="AC224" s="775"/>
      <c r="AD224" s="714"/>
      <c r="AG224" s="1238">
        <v>43685</v>
      </c>
      <c r="AH224" s="775">
        <v>1868</v>
      </c>
      <c r="AI224" s="714">
        <v>107</v>
      </c>
      <c r="AJ224" s="774">
        <v>42582</v>
      </c>
      <c r="AK224" s="775">
        <v>5558.27</v>
      </c>
      <c r="AL224" s="775">
        <v>7.69</v>
      </c>
      <c r="AM224" s="775">
        <v>1912</v>
      </c>
      <c r="AN224" s="714">
        <v>107</v>
      </c>
      <c r="AT224" s="2206">
        <v>43716</v>
      </c>
      <c r="AU224" s="2199">
        <v>60.6</v>
      </c>
      <c r="AV224" s="2203">
        <v>20.6</v>
      </c>
    </row>
    <row r="225" spans="1:48" ht="15" thickBot="1">
      <c r="A225" s="712" t="s">
        <v>492</v>
      </c>
      <c r="B225" s="711">
        <v>41439</v>
      </c>
      <c r="C225" s="710">
        <v>16.2</v>
      </c>
      <c r="AB225" s="774"/>
      <c r="AC225" s="775"/>
      <c r="AD225" s="714"/>
      <c r="AG225" s="1238">
        <v>43686</v>
      </c>
      <c r="AH225" s="775">
        <v>1887</v>
      </c>
      <c r="AI225" s="714">
        <v>108</v>
      </c>
      <c r="AJ225" s="774">
        <v>42583</v>
      </c>
      <c r="AK225" s="775">
        <v>5558.28</v>
      </c>
      <c r="AL225" s="775">
        <v>7.69</v>
      </c>
      <c r="AM225" s="775">
        <v>1913</v>
      </c>
      <c r="AN225" s="714">
        <v>107</v>
      </c>
      <c r="AT225" s="2206">
        <v>43717</v>
      </c>
      <c r="AU225" s="2199">
        <v>65.3</v>
      </c>
      <c r="AV225" s="2203">
        <v>25.5</v>
      </c>
    </row>
    <row r="226" spans="1:48" ht="15" thickBot="1">
      <c r="A226" s="712" t="s">
        <v>492</v>
      </c>
      <c r="B226" s="711">
        <v>41440</v>
      </c>
      <c r="C226" s="710">
        <v>14.9</v>
      </c>
      <c r="AB226" s="774"/>
      <c r="AC226" s="775"/>
      <c r="AD226" s="714"/>
      <c r="AG226" s="1238">
        <v>43687</v>
      </c>
      <c r="AH226" s="775">
        <v>1884</v>
      </c>
      <c r="AI226" s="714">
        <v>108</v>
      </c>
      <c r="AJ226" s="774">
        <v>42584</v>
      </c>
      <c r="AK226" s="775">
        <v>5558.28</v>
      </c>
      <c r="AL226" s="775">
        <v>7.74</v>
      </c>
      <c r="AM226" s="775">
        <v>1913</v>
      </c>
      <c r="AN226" s="714">
        <v>107</v>
      </c>
      <c r="AT226" s="2206">
        <v>43718</v>
      </c>
      <c r="AU226" s="2199">
        <v>67.099999999999994</v>
      </c>
      <c r="AV226" s="2203">
        <v>21.3</v>
      </c>
    </row>
    <row r="227" spans="1:48" ht="15" thickBot="1">
      <c r="A227" s="712" t="s">
        <v>492</v>
      </c>
      <c r="B227" s="711">
        <v>41441</v>
      </c>
      <c r="C227" s="710">
        <v>15.3</v>
      </c>
      <c r="AB227" s="774"/>
      <c r="AC227" s="775"/>
      <c r="AD227" s="714"/>
      <c r="AG227" s="1238">
        <v>43688</v>
      </c>
      <c r="AH227" s="775">
        <v>1877</v>
      </c>
      <c r="AI227" s="714">
        <v>108</v>
      </c>
      <c r="AJ227" s="774">
        <v>42585</v>
      </c>
      <c r="AK227" s="775">
        <v>5558.28</v>
      </c>
      <c r="AL227" s="775">
        <v>7.89</v>
      </c>
      <c r="AM227" s="775">
        <v>1913</v>
      </c>
      <c r="AN227" s="714">
        <v>107</v>
      </c>
      <c r="AT227" s="2206">
        <v>43719</v>
      </c>
      <c r="AU227" s="2199">
        <v>63.9</v>
      </c>
      <c r="AV227" s="2203">
        <v>17.5</v>
      </c>
    </row>
    <row r="228" spans="1:48" ht="15" thickBot="1">
      <c r="A228" s="712" t="s">
        <v>492</v>
      </c>
      <c r="B228" s="711">
        <v>41442</v>
      </c>
      <c r="C228" s="710">
        <v>15.3</v>
      </c>
      <c r="AB228" s="774"/>
      <c r="AC228" s="775"/>
      <c r="AD228" s="714"/>
      <c r="AG228" s="1238">
        <v>43689</v>
      </c>
      <c r="AH228" s="775">
        <v>1876</v>
      </c>
      <c r="AI228" s="714">
        <v>108</v>
      </c>
      <c r="AJ228" s="774">
        <v>42586</v>
      </c>
      <c r="AK228" s="775">
        <v>5558.26</v>
      </c>
      <c r="AL228" s="775">
        <v>7.89</v>
      </c>
      <c r="AM228" s="775">
        <v>1910</v>
      </c>
      <c r="AN228" s="714">
        <v>107</v>
      </c>
      <c r="AT228" s="2206">
        <v>43720</v>
      </c>
      <c r="AU228" s="2199">
        <v>59.5</v>
      </c>
      <c r="AV228" s="2203">
        <v>16.399999999999999</v>
      </c>
    </row>
    <row r="229" spans="1:48" ht="15" thickBot="1">
      <c r="A229" s="712" t="s">
        <v>492</v>
      </c>
      <c r="B229" s="711">
        <v>41443</v>
      </c>
      <c r="C229" s="710">
        <v>13.7</v>
      </c>
      <c r="AB229" s="774"/>
      <c r="AC229" s="775"/>
      <c r="AD229" s="714"/>
      <c r="AG229" s="1238">
        <v>43690</v>
      </c>
      <c r="AH229" s="775">
        <v>1869</v>
      </c>
      <c r="AI229" s="714">
        <v>107</v>
      </c>
      <c r="AJ229" s="774">
        <v>42587</v>
      </c>
      <c r="AK229" s="775">
        <v>5558.27</v>
      </c>
      <c r="AL229" s="775">
        <v>7.89</v>
      </c>
      <c r="AM229" s="775">
        <v>1912</v>
      </c>
      <c r="AN229" s="714">
        <v>107</v>
      </c>
      <c r="AT229" s="2206">
        <v>43721</v>
      </c>
      <c r="AU229" s="2199">
        <v>61.1</v>
      </c>
      <c r="AV229" s="2203">
        <v>15.2</v>
      </c>
    </row>
    <row r="230" spans="1:48" ht="15" thickBot="1">
      <c r="A230" s="712" t="s">
        <v>492</v>
      </c>
      <c r="B230" s="711">
        <v>41444</v>
      </c>
      <c r="C230" s="710">
        <v>12.6</v>
      </c>
      <c r="AB230" s="774"/>
      <c r="AC230" s="775"/>
      <c r="AD230" s="714"/>
      <c r="AG230" s="1238">
        <v>43691</v>
      </c>
      <c r="AH230" s="775">
        <v>1862</v>
      </c>
      <c r="AI230" s="714">
        <v>107</v>
      </c>
      <c r="AJ230" s="774">
        <v>42588</v>
      </c>
      <c r="AK230" s="775">
        <v>5558.32</v>
      </c>
      <c r="AL230" s="775">
        <v>7.9</v>
      </c>
      <c r="AM230" s="775">
        <v>1917</v>
      </c>
      <c r="AN230" s="714">
        <v>107</v>
      </c>
      <c r="AT230" s="2206">
        <v>43722</v>
      </c>
      <c r="AU230" s="2199">
        <v>67.400000000000006</v>
      </c>
      <c r="AV230" s="2203">
        <v>15.1</v>
      </c>
    </row>
    <row r="231" spans="1:48" ht="15" thickBot="1">
      <c r="A231" s="712" t="s">
        <v>492</v>
      </c>
      <c r="B231" s="711">
        <v>41445</v>
      </c>
      <c r="C231" s="710">
        <v>10.7</v>
      </c>
      <c r="AB231" s="774"/>
      <c r="AC231" s="775"/>
      <c r="AD231" s="714"/>
      <c r="AG231" s="1238">
        <v>43692</v>
      </c>
      <c r="AH231" s="775">
        <v>1859</v>
      </c>
      <c r="AI231" s="714">
        <v>107</v>
      </c>
      <c r="AJ231" s="774">
        <v>42589</v>
      </c>
      <c r="AK231" s="775">
        <v>5558.35</v>
      </c>
      <c r="AL231" s="775">
        <v>7.9</v>
      </c>
      <c r="AM231" s="775">
        <v>1920</v>
      </c>
      <c r="AN231" s="714">
        <v>107</v>
      </c>
      <c r="AT231" s="2206">
        <v>43723</v>
      </c>
      <c r="AU231" s="2199">
        <v>69.900000000000006</v>
      </c>
      <c r="AV231" s="2203">
        <v>14.2</v>
      </c>
    </row>
    <row r="232" spans="1:48" ht="15" thickBot="1">
      <c r="A232" s="712" t="s">
        <v>492</v>
      </c>
      <c r="B232" s="711">
        <v>41446</v>
      </c>
      <c r="C232" s="710">
        <v>9.7899999999999991</v>
      </c>
      <c r="AB232" s="774"/>
      <c r="AC232" s="775"/>
      <c r="AD232" s="714"/>
      <c r="AG232" s="1238">
        <v>43693</v>
      </c>
      <c r="AH232" s="775">
        <v>1859</v>
      </c>
      <c r="AI232" s="714">
        <v>107</v>
      </c>
      <c r="AJ232" s="774">
        <v>42590</v>
      </c>
      <c r="AK232" s="775">
        <v>5558.3</v>
      </c>
      <c r="AL232" s="775">
        <v>7.9</v>
      </c>
      <c r="AM232" s="775">
        <v>1915</v>
      </c>
      <c r="AN232" s="714">
        <v>107</v>
      </c>
      <c r="AT232" s="2206">
        <v>43724</v>
      </c>
      <c r="AU232" s="2199">
        <v>70.599999999999994</v>
      </c>
      <c r="AV232" s="2203">
        <v>14.4</v>
      </c>
    </row>
    <row r="233" spans="1:48" ht="15" thickBot="1">
      <c r="A233" s="712" t="s">
        <v>492</v>
      </c>
      <c r="B233" s="711">
        <v>41447</v>
      </c>
      <c r="C233" s="710">
        <v>10.4</v>
      </c>
      <c r="AB233" s="774"/>
      <c r="AC233" s="775"/>
      <c r="AD233" s="714"/>
      <c r="AG233" s="1238">
        <v>43694</v>
      </c>
      <c r="AH233" s="775">
        <v>1859</v>
      </c>
      <c r="AI233" s="714">
        <v>107</v>
      </c>
      <c r="AJ233" s="774">
        <v>42591</v>
      </c>
      <c r="AK233" s="775">
        <v>5558.27</v>
      </c>
      <c r="AL233" s="775">
        <v>7.91</v>
      </c>
      <c r="AM233" s="775">
        <v>1912</v>
      </c>
      <c r="AN233" s="714">
        <v>107</v>
      </c>
      <c r="AT233" s="2206">
        <v>43725</v>
      </c>
      <c r="AU233" s="2199">
        <v>69.7</v>
      </c>
      <c r="AV233" s="2203">
        <v>13.9</v>
      </c>
    </row>
    <row r="234" spans="1:48" ht="15" thickBot="1">
      <c r="A234" s="712" t="s">
        <v>492</v>
      </c>
      <c r="B234" s="711">
        <v>41448</v>
      </c>
      <c r="C234" s="710">
        <v>9.82</v>
      </c>
      <c r="AB234" s="774"/>
      <c r="AC234" s="775"/>
      <c r="AD234" s="714"/>
      <c r="AG234" s="1238">
        <v>43695</v>
      </c>
      <c r="AH234" s="775">
        <v>1857</v>
      </c>
      <c r="AI234" s="714">
        <v>107</v>
      </c>
      <c r="AJ234" s="774">
        <v>42592</v>
      </c>
      <c r="AK234" s="775">
        <v>5558.23</v>
      </c>
      <c r="AL234" s="775">
        <v>7.93</v>
      </c>
      <c r="AM234" s="775">
        <v>1907</v>
      </c>
      <c r="AN234" s="714">
        <v>107</v>
      </c>
      <c r="AT234" s="2206">
        <v>43726</v>
      </c>
      <c r="AU234" s="2199">
        <v>64.400000000000006</v>
      </c>
      <c r="AV234" s="2203">
        <v>14</v>
      </c>
    </row>
    <row r="235" spans="1:48" ht="15" thickBot="1">
      <c r="A235" s="712" t="s">
        <v>492</v>
      </c>
      <c r="B235" s="711">
        <v>41449</v>
      </c>
      <c r="C235" s="710">
        <v>9.6199999999999992</v>
      </c>
      <c r="AB235" s="774"/>
      <c r="AC235" s="775"/>
      <c r="AD235" s="714"/>
      <c r="AG235" s="1238">
        <v>43696</v>
      </c>
      <c r="AH235" s="775">
        <v>1855</v>
      </c>
      <c r="AI235" s="714">
        <v>107</v>
      </c>
      <c r="AJ235" s="774">
        <v>42593</v>
      </c>
      <c r="AK235" s="775">
        <v>5558.21</v>
      </c>
      <c r="AL235" s="775">
        <v>7.93</v>
      </c>
      <c r="AM235" s="775">
        <v>1905</v>
      </c>
      <c r="AN235" s="714">
        <v>107</v>
      </c>
      <c r="AT235" s="2206">
        <v>43727</v>
      </c>
      <c r="AU235" s="2199">
        <v>67.3</v>
      </c>
      <c r="AV235" s="2203">
        <v>13.6</v>
      </c>
    </row>
    <row r="236" spans="1:48" ht="15" thickBot="1">
      <c r="A236" s="712" t="s">
        <v>492</v>
      </c>
      <c r="B236" s="711">
        <v>41450</v>
      </c>
      <c r="C236" s="710">
        <v>9.61</v>
      </c>
      <c r="AB236" s="774"/>
      <c r="AC236" s="775"/>
      <c r="AD236" s="714"/>
      <c r="AG236" s="1238">
        <v>43697</v>
      </c>
      <c r="AH236" s="775">
        <v>1851</v>
      </c>
      <c r="AI236" s="714">
        <v>107</v>
      </c>
      <c r="AJ236" s="774">
        <v>42594</v>
      </c>
      <c r="AK236" s="775">
        <v>5558.22</v>
      </c>
      <c r="AL236" s="775">
        <v>7.95</v>
      </c>
      <c r="AM236" s="775">
        <v>1906</v>
      </c>
      <c r="AN236" s="714">
        <v>107</v>
      </c>
      <c r="AT236" s="2206">
        <v>43728</v>
      </c>
      <c r="AU236" s="2199">
        <v>69.599999999999994</v>
      </c>
      <c r="AV236" s="2203">
        <v>13.5</v>
      </c>
    </row>
    <row r="237" spans="1:48" ht="15" thickBot="1">
      <c r="A237" s="712" t="s">
        <v>492</v>
      </c>
      <c r="B237" s="711">
        <v>41451</v>
      </c>
      <c r="C237" s="710">
        <v>7.42</v>
      </c>
      <c r="AB237" s="774"/>
      <c r="AC237" s="775"/>
      <c r="AD237" s="714"/>
      <c r="AG237" s="1238">
        <v>43698</v>
      </c>
      <c r="AH237" s="775">
        <v>1852</v>
      </c>
      <c r="AI237" s="714">
        <v>107</v>
      </c>
      <c r="AJ237" s="774">
        <v>42595</v>
      </c>
      <c r="AK237" s="775">
        <v>5558.2</v>
      </c>
      <c r="AL237" s="775">
        <v>7.95</v>
      </c>
      <c r="AM237" s="775">
        <v>1904</v>
      </c>
      <c r="AN237" s="714">
        <v>107</v>
      </c>
      <c r="AT237" s="2206">
        <v>43729</v>
      </c>
      <c r="AU237" s="2199">
        <v>61.2</v>
      </c>
      <c r="AV237" s="2203">
        <v>12.9</v>
      </c>
    </row>
    <row r="238" spans="1:48" ht="15" thickBot="1">
      <c r="A238" s="712" t="s">
        <v>492</v>
      </c>
      <c r="B238" s="711">
        <v>41452</v>
      </c>
      <c r="C238" s="710">
        <v>5.34</v>
      </c>
      <c r="AB238" s="774"/>
      <c r="AC238" s="775"/>
      <c r="AD238" s="714"/>
      <c r="AG238" s="1238">
        <v>43699</v>
      </c>
      <c r="AH238" s="775">
        <v>1867</v>
      </c>
      <c r="AI238" s="714">
        <v>107</v>
      </c>
      <c r="AJ238" s="774">
        <v>42596</v>
      </c>
      <c r="AK238" s="775">
        <v>5558.2</v>
      </c>
      <c r="AL238" s="775">
        <v>7.95</v>
      </c>
      <c r="AM238" s="775">
        <v>1904</v>
      </c>
      <c r="AN238" s="714">
        <v>107</v>
      </c>
      <c r="AT238" s="2206">
        <v>43730</v>
      </c>
      <c r="AU238" s="2199">
        <v>56.8</v>
      </c>
      <c r="AV238" s="2203">
        <v>13.2</v>
      </c>
    </row>
    <row r="239" spans="1:48" ht="15" thickBot="1">
      <c r="A239" s="712" t="s">
        <v>492</v>
      </c>
      <c r="B239" s="711">
        <v>41453</v>
      </c>
      <c r="C239" s="710">
        <v>4.9800000000000004</v>
      </c>
      <c r="AB239" s="774"/>
      <c r="AC239" s="775"/>
      <c r="AD239" s="714"/>
      <c r="AG239" s="1238">
        <v>43700</v>
      </c>
      <c r="AH239" s="775">
        <v>1882</v>
      </c>
      <c r="AI239" s="714">
        <v>108</v>
      </c>
      <c r="AJ239" s="774">
        <v>42597</v>
      </c>
      <c r="AK239" s="775">
        <v>5558.2</v>
      </c>
      <c r="AL239" s="775">
        <v>7.95</v>
      </c>
      <c r="AM239" s="775">
        <v>1904</v>
      </c>
      <c r="AN239" s="714">
        <v>107</v>
      </c>
      <c r="AT239" s="2206">
        <v>43731</v>
      </c>
      <c r="AU239" s="2199">
        <v>62.7</v>
      </c>
      <c r="AV239" s="2203">
        <v>12.5</v>
      </c>
    </row>
    <row r="240" spans="1:48" ht="15" thickBot="1">
      <c r="A240" s="712" t="s">
        <v>492</v>
      </c>
      <c r="B240" s="711">
        <v>41454</v>
      </c>
      <c r="C240" s="710">
        <v>5.18</v>
      </c>
      <c r="AB240" s="774"/>
      <c r="AC240" s="775"/>
      <c r="AD240" s="714"/>
      <c r="AG240" s="1238">
        <v>43701</v>
      </c>
      <c r="AH240" s="775">
        <v>1877</v>
      </c>
      <c r="AI240" s="714">
        <v>108</v>
      </c>
      <c r="AJ240" s="774">
        <v>42598</v>
      </c>
      <c r="AK240" s="775">
        <v>5558.19</v>
      </c>
      <c r="AL240" s="775">
        <v>7.97</v>
      </c>
      <c r="AM240" s="775">
        <v>1903</v>
      </c>
      <c r="AN240" s="714">
        <v>107</v>
      </c>
      <c r="AT240" s="2206">
        <v>43732</v>
      </c>
      <c r="AU240" s="2199">
        <v>67.5</v>
      </c>
      <c r="AV240" s="2203">
        <v>12.3</v>
      </c>
    </row>
    <row r="241" spans="1:48" ht="15" thickBot="1">
      <c r="A241" s="712" t="s">
        <v>492</v>
      </c>
      <c r="B241" s="711">
        <v>41455</v>
      </c>
      <c r="C241" s="710">
        <v>6.49</v>
      </c>
      <c r="AB241" s="774"/>
      <c r="AC241" s="775"/>
      <c r="AD241" s="714"/>
      <c r="AG241" s="1238">
        <v>43702</v>
      </c>
      <c r="AH241" s="775">
        <v>1870</v>
      </c>
      <c r="AI241" s="714">
        <v>108</v>
      </c>
      <c r="AJ241" s="774">
        <v>42599</v>
      </c>
      <c r="AK241" s="775">
        <v>5558.27</v>
      </c>
      <c r="AL241" s="775">
        <v>8.11</v>
      </c>
      <c r="AM241" s="775">
        <v>1912</v>
      </c>
      <c r="AN241" s="714">
        <v>107</v>
      </c>
      <c r="AT241" s="2206">
        <v>43733</v>
      </c>
      <c r="AU241" s="2199">
        <v>63.7</v>
      </c>
      <c r="AV241" s="2203">
        <v>10.7</v>
      </c>
    </row>
    <row r="242" spans="1:48" ht="15" thickBot="1">
      <c r="A242" s="712" t="s">
        <v>492</v>
      </c>
      <c r="B242" s="711">
        <v>41456</v>
      </c>
      <c r="C242" s="710">
        <v>7.14</v>
      </c>
      <c r="D242" s="710">
        <f>AVERAGE(C242:C272)</f>
        <v>22.958387096774196</v>
      </c>
      <c r="AB242" s="774"/>
      <c r="AC242" s="775"/>
      <c r="AD242" s="714"/>
      <c r="AG242" s="1238">
        <v>43703</v>
      </c>
      <c r="AH242" s="775">
        <v>1854</v>
      </c>
      <c r="AI242" s="714">
        <v>107</v>
      </c>
      <c r="AJ242" s="774">
        <v>42600</v>
      </c>
      <c r="AK242" s="775">
        <v>5558.25</v>
      </c>
      <c r="AL242" s="775">
        <v>8.1199999999999992</v>
      </c>
      <c r="AM242" s="775">
        <v>1909</v>
      </c>
      <c r="AN242" s="714">
        <v>107</v>
      </c>
      <c r="AT242" s="2206">
        <v>43734</v>
      </c>
      <c r="AU242" s="2199">
        <v>61.7</v>
      </c>
      <c r="AV242" s="2203">
        <v>11.4</v>
      </c>
    </row>
    <row r="243" spans="1:48" ht="15" thickBot="1">
      <c r="A243" s="712" t="s">
        <v>492</v>
      </c>
      <c r="B243" s="711">
        <v>41457</v>
      </c>
      <c r="C243" s="710">
        <v>8.99</v>
      </c>
      <c r="AB243" s="774"/>
      <c r="AC243" s="775"/>
      <c r="AD243" s="714"/>
      <c r="AG243" s="1238">
        <v>43704</v>
      </c>
      <c r="AH243" s="775">
        <v>1840</v>
      </c>
      <c r="AI243" s="714">
        <v>107</v>
      </c>
      <c r="AJ243" s="774">
        <v>42601</v>
      </c>
      <c r="AK243" s="775">
        <v>5558.26</v>
      </c>
      <c r="AL243" s="775">
        <v>8.1999999999999993</v>
      </c>
      <c r="AM243" s="775">
        <v>1910</v>
      </c>
      <c r="AN243" s="714">
        <v>107</v>
      </c>
      <c r="AT243" s="2206">
        <v>43735</v>
      </c>
      <c r="AU243" s="2199">
        <v>58.6</v>
      </c>
      <c r="AV243" s="2203">
        <v>11.2</v>
      </c>
    </row>
    <row r="244" spans="1:48" ht="15" thickBot="1">
      <c r="A244" s="712" t="s">
        <v>492</v>
      </c>
      <c r="B244" s="711">
        <v>41458</v>
      </c>
      <c r="C244" s="710">
        <v>9.58</v>
      </c>
      <c r="AB244" s="774"/>
      <c r="AC244" s="775"/>
      <c r="AD244" s="714"/>
      <c r="AG244" s="1238">
        <v>43705</v>
      </c>
      <c r="AH244" s="775">
        <v>1827</v>
      </c>
      <c r="AI244" s="714">
        <v>106</v>
      </c>
      <c r="AJ244" s="774">
        <v>42602</v>
      </c>
      <c r="AK244" s="775">
        <v>5558.37</v>
      </c>
      <c r="AL244" s="775">
        <v>8.32</v>
      </c>
      <c r="AM244" s="775">
        <v>1922</v>
      </c>
      <c r="AN244" s="714">
        <v>107</v>
      </c>
      <c r="AT244" s="2206">
        <v>43736</v>
      </c>
      <c r="AU244" s="2199">
        <v>56.8</v>
      </c>
      <c r="AV244" s="2203">
        <v>11.1</v>
      </c>
    </row>
    <row r="245" spans="1:48" ht="15" thickBot="1">
      <c r="A245" s="712" t="s">
        <v>492</v>
      </c>
      <c r="B245" s="711">
        <v>41459</v>
      </c>
      <c r="C245" s="710">
        <v>7.67</v>
      </c>
      <c r="AB245" s="774"/>
      <c r="AC245" s="775"/>
      <c r="AD245" s="714"/>
      <c r="AG245" s="1238">
        <v>43706</v>
      </c>
      <c r="AH245" s="775">
        <v>1810</v>
      </c>
      <c r="AI245" s="714">
        <v>106</v>
      </c>
      <c r="AJ245" s="774">
        <v>42603</v>
      </c>
      <c r="AK245" s="775">
        <v>5558.3</v>
      </c>
      <c r="AL245" s="775">
        <v>8.32</v>
      </c>
      <c r="AM245" s="775">
        <v>1915</v>
      </c>
      <c r="AN245" s="714">
        <v>107</v>
      </c>
      <c r="AT245" s="2206">
        <v>43737</v>
      </c>
      <c r="AU245" s="2199">
        <v>67.2</v>
      </c>
      <c r="AV245" s="2203">
        <v>12</v>
      </c>
    </row>
    <row r="246" spans="1:48" ht="15" thickBot="1">
      <c r="A246" s="712" t="s">
        <v>492</v>
      </c>
      <c r="B246" s="711">
        <v>41460</v>
      </c>
      <c r="C246" s="710">
        <v>7.82</v>
      </c>
      <c r="AB246" s="774"/>
      <c r="AC246" s="775"/>
      <c r="AD246" s="714"/>
      <c r="AG246" s="1238">
        <v>43707</v>
      </c>
      <c r="AH246" s="775">
        <v>1794</v>
      </c>
      <c r="AI246" s="714">
        <v>105</v>
      </c>
      <c r="AJ246" s="774">
        <v>42604</v>
      </c>
      <c r="AK246" s="775">
        <v>5558.25</v>
      </c>
      <c r="AL246" s="775">
        <v>8.32</v>
      </c>
      <c r="AM246" s="775">
        <v>1909</v>
      </c>
      <c r="AN246" s="714">
        <v>107</v>
      </c>
      <c r="AT246" s="2206">
        <v>43738</v>
      </c>
      <c r="AU246" s="2199">
        <v>56.9</v>
      </c>
      <c r="AV246" s="2203">
        <v>10.5</v>
      </c>
    </row>
    <row r="247" spans="1:48" ht="15" thickBot="1">
      <c r="A247" s="712" t="s">
        <v>492</v>
      </c>
      <c r="B247" s="711">
        <v>41461</v>
      </c>
      <c r="C247" s="710">
        <v>6.81</v>
      </c>
      <c r="AB247" s="774"/>
      <c r="AC247" s="775"/>
      <c r="AD247" s="714"/>
      <c r="AG247" s="1238">
        <v>43708</v>
      </c>
      <c r="AH247" s="775">
        <v>1789</v>
      </c>
      <c r="AI247" s="714">
        <v>105</v>
      </c>
      <c r="AJ247" s="774">
        <v>42605</v>
      </c>
      <c r="AK247" s="775">
        <v>5558.21</v>
      </c>
      <c r="AL247" s="775">
        <v>8.32</v>
      </c>
      <c r="AM247" s="775">
        <v>1905</v>
      </c>
      <c r="AN247" s="714">
        <v>107</v>
      </c>
      <c r="AT247" s="2206">
        <v>43739</v>
      </c>
      <c r="AU247" s="2199">
        <v>49</v>
      </c>
      <c r="AV247" s="2203">
        <v>10.199999999999999</v>
      </c>
    </row>
    <row r="248" spans="1:48" ht="15" thickBot="1">
      <c r="A248" s="712" t="s">
        <v>492</v>
      </c>
      <c r="B248" s="711">
        <v>41462</v>
      </c>
      <c r="C248" s="710">
        <v>7.52</v>
      </c>
      <c r="AB248" s="774"/>
      <c r="AC248" s="775"/>
      <c r="AD248" s="714"/>
      <c r="AG248" s="1238">
        <v>43709</v>
      </c>
      <c r="AH248" s="775">
        <v>1782</v>
      </c>
      <c r="AI248" s="714">
        <v>105</v>
      </c>
      <c r="AJ248" s="774">
        <v>42606</v>
      </c>
      <c r="AK248" s="775">
        <v>5558.23</v>
      </c>
      <c r="AL248" s="775">
        <v>8.41</v>
      </c>
      <c r="AM248" s="775">
        <v>1907</v>
      </c>
      <c r="AN248" s="714">
        <v>107</v>
      </c>
      <c r="AT248" s="2206">
        <v>43740</v>
      </c>
      <c r="AU248" s="2199">
        <v>48</v>
      </c>
      <c r="AV248" s="2203">
        <v>12.2</v>
      </c>
    </row>
    <row r="249" spans="1:48" ht="15" thickBot="1">
      <c r="A249" s="712" t="s">
        <v>492</v>
      </c>
      <c r="B249" s="711">
        <v>41463</v>
      </c>
      <c r="C249" s="710">
        <v>8.9600000000000009</v>
      </c>
      <c r="AB249" s="774"/>
      <c r="AC249" s="775"/>
      <c r="AD249" s="714"/>
      <c r="AG249" s="1238">
        <v>43710</v>
      </c>
      <c r="AH249" s="775">
        <v>1771</v>
      </c>
      <c r="AI249" s="714">
        <v>104</v>
      </c>
      <c r="AJ249" s="774">
        <v>42607</v>
      </c>
      <c r="AK249" s="775">
        <v>5558.34</v>
      </c>
      <c r="AL249" s="775">
        <v>8.51</v>
      </c>
      <c r="AM249" s="775">
        <v>1919</v>
      </c>
      <c r="AN249" s="714">
        <v>107</v>
      </c>
      <c r="AT249" s="2206">
        <v>43741</v>
      </c>
      <c r="AU249" s="2199">
        <v>51.5</v>
      </c>
      <c r="AV249" s="2203">
        <v>11.7</v>
      </c>
    </row>
    <row r="250" spans="1:48" ht="15" thickBot="1">
      <c r="A250" s="712" t="s">
        <v>492</v>
      </c>
      <c r="B250" s="711">
        <v>41464</v>
      </c>
      <c r="C250" s="710">
        <v>9.44</v>
      </c>
      <c r="AB250" s="774"/>
      <c r="AC250" s="775"/>
      <c r="AD250" s="714"/>
      <c r="AG250" s="1238">
        <v>43711</v>
      </c>
      <c r="AH250" s="775">
        <v>1758</v>
      </c>
      <c r="AI250" s="714">
        <v>104</v>
      </c>
      <c r="AJ250" s="774">
        <v>42608</v>
      </c>
      <c r="AK250" s="775">
        <v>5558.38</v>
      </c>
      <c r="AL250" s="775">
        <v>8.51</v>
      </c>
      <c r="AM250" s="775">
        <v>1923</v>
      </c>
      <c r="AN250" s="714">
        <v>107</v>
      </c>
      <c r="AT250" s="2206">
        <v>43742</v>
      </c>
      <c r="AU250" s="2199">
        <v>53.8</v>
      </c>
      <c r="AV250" s="2203">
        <v>11.3</v>
      </c>
    </row>
    <row r="251" spans="1:48" ht="15" thickBot="1">
      <c r="A251" s="712" t="s">
        <v>492</v>
      </c>
      <c r="B251" s="711">
        <v>41465</v>
      </c>
      <c r="C251" s="710">
        <v>9.66</v>
      </c>
      <c r="AB251" s="774"/>
      <c r="AC251" s="775"/>
      <c r="AD251" s="714"/>
      <c r="AG251" s="1238">
        <v>43712</v>
      </c>
      <c r="AH251" s="775">
        <v>1744</v>
      </c>
      <c r="AI251" s="714">
        <v>104</v>
      </c>
      <c r="AJ251" s="774">
        <v>42609</v>
      </c>
      <c r="AK251" s="775">
        <v>5558.37</v>
      </c>
      <c r="AL251" s="775">
        <v>8.51</v>
      </c>
      <c r="AM251" s="775">
        <v>1922</v>
      </c>
      <c r="AN251" s="714">
        <v>107</v>
      </c>
      <c r="AT251" s="2206">
        <v>43743</v>
      </c>
      <c r="AU251" s="2199">
        <v>50.3</v>
      </c>
      <c r="AV251" s="2203">
        <v>11.3</v>
      </c>
    </row>
    <row r="252" spans="1:48" ht="15" thickBot="1">
      <c r="A252" s="712" t="s">
        <v>492</v>
      </c>
      <c r="B252" s="711">
        <v>41466</v>
      </c>
      <c r="C252" s="710">
        <v>22.7</v>
      </c>
      <c r="AB252" s="774"/>
      <c r="AC252" s="775"/>
      <c r="AD252" s="714"/>
      <c r="AG252" s="1238">
        <v>43713</v>
      </c>
      <c r="AH252" s="775">
        <v>1732</v>
      </c>
      <c r="AI252" s="714">
        <v>103</v>
      </c>
      <c r="AJ252" s="774">
        <v>42610</v>
      </c>
      <c r="AK252" s="775">
        <v>5558.3</v>
      </c>
      <c r="AL252" s="775">
        <v>8.51</v>
      </c>
      <c r="AM252" s="775">
        <v>1915</v>
      </c>
      <c r="AN252" s="714">
        <v>107</v>
      </c>
      <c r="AT252" s="2206">
        <v>43744</v>
      </c>
      <c r="AU252" s="2199">
        <v>48</v>
      </c>
      <c r="AV252" s="2203">
        <v>9.9</v>
      </c>
    </row>
    <row r="253" spans="1:48" ht="15" thickBot="1">
      <c r="A253" s="712" t="s">
        <v>492</v>
      </c>
      <c r="B253" s="711">
        <v>41467</v>
      </c>
      <c r="C253" s="710">
        <v>50.8</v>
      </c>
      <c r="AB253" s="774"/>
      <c r="AC253" s="775"/>
      <c r="AD253" s="714"/>
      <c r="AG253" s="1238">
        <v>43714</v>
      </c>
      <c r="AH253" s="775">
        <v>1721</v>
      </c>
      <c r="AI253" s="714">
        <v>103</v>
      </c>
      <c r="AJ253" s="774">
        <v>42611</v>
      </c>
      <c r="AK253" s="775">
        <v>5558.28</v>
      </c>
      <c r="AL253" s="775">
        <v>8.5299999999999994</v>
      </c>
      <c r="AM253" s="775">
        <v>1913</v>
      </c>
      <c r="AN253" s="714">
        <v>107</v>
      </c>
      <c r="AT253" s="2206">
        <v>43745</v>
      </c>
      <c r="AU253" s="2199">
        <v>54</v>
      </c>
      <c r="AV253" s="2203">
        <v>10.3</v>
      </c>
    </row>
    <row r="254" spans="1:48" ht="15" thickBot="1">
      <c r="A254" s="712" t="s">
        <v>492</v>
      </c>
      <c r="B254" s="711">
        <v>41468</v>
      </c>
      <c r="C254" s="710">
        <v>53.8</v>
      </c>
      <c r="AB254" s="774"/>
      <c r="AC254" s="775"/>
      <c r="AD254" s="714"/>
      <c r="AG254" s="1238">
        <v>43715</v>
      </c>
      <c r="AH254" s="775">
        <v>1730</v>
      </c>
      <c r="AI254" s="714">
        <v>103</v>
      </c>
      <c r="AJ254" s="774">
        <v>42612</v>
      </c>
      <c r="AK254" s="775">
        <v>5558.3</v>
      </c>
      <c r="AL254" s="775">
        <v>8.56</v>
      </c>
      <c r="AM254" s="775">
        <v>1915</v>
      </c>
      <c r="AN254" s="714">
        <v>107</v>
      </c>
      <c r="AT254" s="2206">
        <v>43746</v>
      </c>
      <c r="AU254" s="2199">
        <v>58.9</v>
      </c>
      <c r="AV254" s="2203">
        <v>10.8</v>
      </c>
    </row>
    <row r="255" spans="1:48" ht="15" thickBot="1">
      <c r="A255" s="712" t="s">
        <v>492</v>
      </c>
      <c r="B255" s="711">
        <v>41469</v>
      </c>
      <c r="C255" s="710">
        <v>77.599999999999994</v>
      </c>
      <c r="AB255" s="774"/>
      <c r="AC255" s="775"/>
      <c r="AD255" s="714"/>
      <c r="AG255" s="1238">
        <v>43716</v>
      </c>
      <c r="AH255" s="775">
        <v>1727</v>
      </c>
      <c r="AI255" s="714">
        <v>103</v>
      </c>
      <c r="AJ255" s="774">
        <v>42613</v>
      </c>
      <c r="AK255" s="775">
        <v>5558.41</v>
      </c>
      <c r="AL255" s="775">
        <v>8.58</v>
      </c>
      <c r="AM255" s="775">
        <v>1927</v>
      </c>
      <c r="AN255" s="714">
        <v>107</v>
      </c>
      <c r="AT255" s="2206">
        <v>43747</v>
      </c>
      <c r="AU255" s="2199">
        <v>56.1</v>
      </c>
      <c r="AV255" s="2203">
        <v>11.3</v>
      </c>
    </row>
    <row r="256" spans="1:48" ht="15" thickBot="1">
      <c r="A256" s="712" t="s">
        <v>492</v>
      </c>
      <c r="B256" s="711">
        <v>41470</v>
      </c>
      <c r="C256" s="710">
        <v>64.8</v>
      </c>
      <c r="AB256" s="774"/>
      <c r="AC256" s="775"/>
      <c r="AD256" s="714"/>
      <c r="AG256" s="1238">
        <v>43717</v>
      </c>
      <c r="AH256" s="775">
        <v>1736</v>
      </c>
      <c r="AI256" s="714">
        <v>103</v>
      </c>
      <c r="AJ256" s="774">
        <v>42614</v>
      </c>
      <c r="AK256" s="775">
        <v>5558.33</v>
      </c>
      <c r="AL256" s="775">
        <v>8.58</v>
      </c>
      <c r="AM256" s="775">
        <v>1918</v>
      </c>
      <c r="AN256" s="714">
        <v>107</v>
      </c>
      <c r="AT256" s="2206">
        <v>43748</v>
      </c>
      <c r="AU256" s="2199">
        <v>23.1</v>
      </c>
      <c r="AV256" s="2203">
        <v>13.3</v>
      </c>
    </row>
    <row r="257" spans="1:48" ht="15" thickBot="1">
      <c r="A257" s="712" t="s">
        <v>492</v>
      </c>
      <c r="B257" s="711">
        <v>41471</v>
      </c>
      <c r="C257" s="710">
        <v>56.9</v>
      </c>
      <c r="AB257" s="774"/>
      <c r="AC257" s="775"/>
      <c r="AD257" s="714"/>
      <c r="AG257" s="1238">
        <v>43718</v>
      </c>
      <c r="AH257" s="775">
        <v>1743</v>
      </c>
      <c r="AI257" s="714">
        <v>104</v>
      </c>
      <c r="AJ257" s="774">
        <v>42615</v>
      </c>
      <c r="AK257" s="775">
        <v>5558.28</v>
      </c>
      <c r="AL257" s="775">
        <v>8.58</v>
      </c>
      <c r="AM257" s="775">
        <v>1913</v>
      </c>
      <c r="AN257" s="714">
        <v>107</v>
      </c>
      <c r="AT257" s="2206">
        <v>43749</v>
      </c>
      <c r="AU257" s="2199">
        <v>30.8</v>
      </c>
      <c r="AV257" s="2203">
        <v>11.4</v>
      </c>
    </row>
    <row r="258" spans="1:48" ht="15" thickBot="1">
      <c r="A258" s="712" t="s">
        <v>492</v>
      </c>
      <c r="B258" s="711">
        <v>41472</v>
      </c>
      <c r="C258" s="710">
        <v>44.4</v>
      </c>
      <c r="AB258" s="774"/>
      <c r="AC258" s="775"/>
      <c r="AD258" s="714"/>
      <c r="AG258" s="1238">
        <v>43719</v>
      </c>
      <c r="AH258" s="775">
        <v>1734</v>
      </c>
      <c r="AI258" s="714">
        <v>103</v>
      </c>
      <c r="AJ258" s="774">
        <v>42616</v>
      </c>
      <c r="AK258" s="775">
        <v>5558.26</v>
      </c>
      <c r="AL258" s="775">
        <v>8.58</v>
      </c>
      <c r="AM258" s="775">
        <v>1910</v>
      </c>
      <c r="AN258" s="714">
        <v>107</v>
      </c>
      <c r="AT258" s="2206">
        <v>43750</v>
      </c>
      <c r="AU258" s="2199">
        <v>46.4</v>
      </c>
      <c r="AV258" s="2203">
        <v>11.6</v>
      </c>
    </row>
    <row r="259" spans="1:48" ht="15" thickBot="1">
      <c r="A259" s="712" t="s">
        <v>492</v>
      </c>
      <c r="B259" s="711">
        <v>41473</v>
      </c>
      <c r="C259" s="710">
        <v>34.6</v>
      </c>
      <c r="AB259" s="774"/>
      <c r="AC259" s="775"/>
      <c r="AD259" s="714"/>
      <c r="AG259" s="1238">
        <v>43720</v>
      </c>
      <c r="AH259" s="775">
        <v>1721</v>
      </c>
      <c r="AI259" s="714">
        <v>103</v>
      </c>
      <c r="AJ259" s="774">
        <v>42617</v>
      </c>
      <c r="AK259" s="775">
        <v>5558.27</v>
      </c>
      <c r="AL259" s="775">
        <v>8.58</v>
      </c>
      <c r="AM259" s="775">
        <v>1911</v>
      </c>
      <c r="AN259" s="714">
        <v>107</v>
      </c>
      <c r="AT259" s="2206">
        <v>43751</v>
      </c>
      <c r="AU259" s="2199">
        <v>51.9</v>
      </c>
      <c r="AV259" s="2203">
        <v>16.399999999999999</v>
      </c>
    </row>
    <row r="260" spans="1:48" ht="15" thickBot="1">
      <c r="A260" s="712" t="s">
        <v>492</v>
      </c>
      <c r="B260" s="711">
        <v>41474</v>
      </c>
      <c r="C260" s="710">
        <v>29.6</v>
      </c>
      <c r="AB260" s="774"/>
      <c r="AC260" s="775"/>
      <c r="AD260" s="714"/>
      <c r="AG260" s="1238">
        <v>43721</v>
      </c>
      <c r="AH260" s="775">
        <v>1711</v>
      </c>
      <c r="AI260" s="714">
        <v>103</v>
      </c>
      <c r="AJ260" s="774">
        <v>42618</v>
      </c>
      <c r="AK260" s="775">
        <v>5558.26</v>
      </c>
      <c r="AL260" s="775">
        <v>8.58</v>
      </c>
      <c r="AM260" s="775">
        <v>1911</v>
      </c>
      <c r="AN260" s="714">
        <v>107</v>
      </c>
      <c r="AT260" s="2206">
        <v>43752</v>
      </c>
      <c r="AU260" s="2199">
        <v>55.2</v>
      </c>
      <c r="AV260" s="2203">
        <v>14.6</v>
      </c>
    </row>
    <row r="261" spans="1:48" ht="15" thickBot="1">
      <c r="A261" s="712" t="s">
        <v>492</v>
      </c>
      <c r="B261" s="711">
        <v>41475</v>
      </c>
      <c r="C261" s="710">
        <v>26.7</v>
      </c>
      <c r="AB261" s="774"/>
      <c r="AC261" s="775"/>
      <c r="AD261" s="714"/>
      <c r="AG261" s="1238">
        <v>43722</v>
      </c>
      <c r="AH261" s="775">
        <v>1711</v>
      </c>
      <c r="AI261" s="714">
        <v>103</v>
      </c>
      <c r="AJ261" s="774">
        <v>42619</v>
      </c>
      <c r="AK261" s="775">
        <v>5558.22</v>
      </c>
      <c r="AL261" s="775">
        <v>8.58</v>
      </c>
      <c r="AM261" s="775">
        <v>1906</v>
      </c>
      <c r="AN261" s="714">
        <v>107</v>
      </c>
      <c r="AT261" s="2206">
        <v>43753</v>
      </c>
      <c r="AU261" s="2199">
        <v>46.2</v>
      </c>
      <c r="AV261" s="2203">
        <v>14.6</v>
      </c>
    </row>
    <row r="262" spans="1:48" ht="15" thickBot="1">
      <c r="A262" s="712" t="s">
        <v>492</v>
      </c>
      <c r="B262" s="711">
        <v>41476</v>
      </c>
      <c r="C262" s="710">
        <v>24.4</v>
      </c>
      <c r="AB262" s="774"/>
      <c r="AC262" s="775"/>
      <c r="AD262" s="714"/>
      <c r="AG262" s="1238">
        <v>43723</v>
      </c>
      <c r="AH262" s="775">
        <v>1713</v>
      </c>
      <c r="AI262" s="714">
        <v>103</v>
      </c>
      <c r="AJ262" s="774">
        <v>42620</v>
      </c>
      <c r="AK262" s="775">
        <v>5558.11</v>
      </c>
      <c r="AL262" s="775">
        <v>8.58</v>
      </c>
      <c r="AM262" s="775">
        <v>1894</v>
      </c>
      <c r="AN262" s="714">
        <v>106</v>
      </c>
      <c r="AT262" s="2206">
        <v>43754</v>
      </c>
      <c r="AU262" s="2199">
        <v>56.2</v>
      </c>
      <c r="AV262" s="2203">
        <v>14</v>
      </c>
    </row>
    <row r="263" spans="1:48" ht="15" thickBot="1">
      <c r="A263" s="712" t="s">
        <v>492</v>
      </c>
      <c r="B263" s="711">
        <v>41477</v>
      </c>
      <c r="C263" s="710">
        <v>21.9</v>
      </c>
      <c r="AB263" s="774"/>
      <c r="AC263" s="775"/>
      <c r="AD263" s="714"/>
      <c r="AG263" s="1238">
        <v>43724</v>
      </c>
      <c r="AH263" s="775">
        <v>1715</v>
      </c>
      <c r="AI263" s="714">
        <v>103</v>
      </c>
      <c r="AJ263" s="774">
        <v>42621</v>
      </c>
      <c r="AK263" s="775">
        <v>5557.94</v>
      </c>
      <c r="AL263" s="775">
        <v>8.58</v>
      </c>
      <c r="AM263" s="775">
        <v>1876</v>
      </c>
      <c r="AN263" s="714">
        <v>106</v>
      </c>
      <c r="AT263" s="2206">
        <v>43755</v>
      </c>
      <c r="AU263" s="2199">
        <v>59.8</v>
      </c>
      <c r="AV263" s="2203">
        <v>13.7</v>
      </c>
    </row>
    <row r="264" spans="1:48" ht="15" thickBot="1">
      <c r="A264" s="712" t="s">
        <v>492</v>
      </c>
      <c r="B264" s="711">
        <v>41478</v>
      </c>
      <c r="C264" s="710">
        <v>19.899999999999999</v>
      </c>
      <c r="AB264" s="774"/>
      <c r="AC264" s="775"/>
      <c r="AD264" s="714"/>
      <c r="AG264" s="1238">
        <v>43725</v>
      </c>
      <c r="AH264" s="775">
        <v>1710</v>
      </c>
      <c r="AI264" s="714">
        <v>103</v>
      </c>
      <c r="AJ264" s="774">
        <v>42622</v>
      </c>
      <c r="AK264" s="775">
        <v>5557.73</v>
      </c>
      <c r="AL264" s="775">
        <v>8.58</v>
      </c>
      <c r="AM264" s="775">
        <v>1854</v>
      </c>
      <c r="AN264" s="714">
        <v>105</v>
      </c>
      <c r="AT264" s="2206">
        <v>43756</v>
      </c>
      <c r="AU264" s="2199">
        <v>52.8</v>
      </c>
      <c r="AV264" s="2203">
        <v>13.6</v>
      </c>
    </row>
    <row r="265" spans="1:48" ht="15" thickBot="1">
      <c r="A265" s="712" t="s">
        <v>492</v>
      </c>
      <c r="B265" s="711">
        <v>41479</v>
      </c>
      <c r="C265" s="710">
        <v>18.600000000000001</v>
      </c>
      <c r="AB265" s="774"/>
      <c r="AC265" s="775"/>
      <c r="AD265" s="714"/>
      <c r="AG265" s="1238">
        <v>43726</v>
      </c>
      <c r="AH265" s="775">
        <v>1704</v>
      </c>
      <c r="AI265" s="714">
        <v>103</v>
      </c>
      <c r="AJ265" s="774">
        <v>42623</v>
      </c>
      <c r="AK265" s="775">
        <v>5557.55</v>
      </c>
      <c r="AL265" s="775">
        <v>8.58</v>
      </c>
      <c r="AM265" s="775">
        <v>1835</v>
      </c>
      <c r="AN265" s="714">
        <v>105</v>
      </c>
      <c r="AT265" s="2206">
        <v>43757</v>
      </c>
      <c r="AU265" s="2199">
        <v>45.7</v>
      </c>
      <c r="AV265" s="2203">
        <v>12.7</v>
      </c>
    </row>
    <row r="266" spans="1:48" ht="15" thickBot="1">
      <c r="A266" s="712" t="s">
        <v>492</v>
      </c>
      <c r="B266" s="711">
        <v>41480</v>
      </c>
      <c r="C266" s="710">
        <v>10.7</v>
      </c>
      <c r="AB266" s="774"/>
      <c r="AC266" s="775"/>
      <c r="AD266" s="714"/>
      <c r="AG266" s="1238">
        <v>43727</v>
      </c>
      <c r="AH266" s="775">
        <v>1699</v>
      </c>
      <c r="AI266" s="714">
        <v>102</v>
      </c>
      <c r="AJ266" s="774">
        <v>42624</v>
      </c>
      <c r="AK266" s="775">
        <v>5557.37</v>
      </c>
      <c r="AL266" s="775">
        <v>8.58</v>
      </c>
      <c r="AM266" s="775">
        <v>1817</v>
      </c>
      <c r="AN266" s="714">
        <v>104</v>
      </c>
      <c r="AT266" s="2206">
        <v>43758</v>
      </c>
      <c r="AU266" s="2199">
        <v>42.6</v>
      </c>
      <c r="AV266" s="2203">
        <v>14.2</v>
      </c>
    </row>
    <row r="267" spans="1:48" ht="15" thickBot="1">
      <c r="A267" s="712" t="s">
        <v>492</v>
      </c>
      <c r="B267" s="711">
        <v>41481</v>
      </c>
      <c r="C267" s="710">
        <v>8.51</v>
      </c>
      <c r="AB267" s="774"/>
      <c r="AC267" s="775"/>
      <c r="AD267" s="714"/>
      <c r="AG267" s="1238">
        <v>43728</v>
      </c>
      <c r="AH267" s="775">
        <v>1690</v>
      </c>
      <c r="AI267" s="714">
        <v>102</v>
      </c>
      <c r="AJ267" s="774">
        <v>42625</v>
      </c>
      <c r="AK267" s="775">
        <v>5557.2</v>
      </c>
      <c r="AL267" s="775">
        <v>8.58</v>
      </c>
      <c r="AM267" s="775">
        <v>1799</v>
      </c>
      <c r="AN267" s="714">
        <v>104</v>
      </c>
      <c r="AT267" s="2206">
        <v>43759</v>
      </c>
      <c r="AU267" s="2199">
        <v>40.9</v>
      </c>
      <c r="AV267" s="2203">
        <v>10.4</v>
      </c>
    </row>
    <row r="268" spans="1:48" ht="15" thickBot="1">
      <c r="A268" s="712" t="s">
        <v>492</v>
      </c>
      <c r="B268" s="711">
        <v>41482</v>
      </c>
      <c r="C268" s="710">
        <v>8.61</v>
      </c>
      <c r="AB268" s="774"/>
      <c r="AC268" s="775"/>
      <c r="AD268" s="714"/>
      <c r="AG268" s="1238">
        <v>43729</v>
      </c>
      <c r="AH268" s="775">
        <v>1682</v>
      </c>
      <c r="AI268" s="714">
        <v>102</v>
      </c>
      <c r="AJ268" s="774">
        <v>42626</v>
      </c>
      <c r="AK268" s="775">
        <v>5557.11</v>
      </c>
      <c r="AL268" s="775">
        <v>8.65</v>
      </c>
      <c r="AM268" s="775">
        <v>1790</v>
      </c>
      <c r="AN268" s="714">
        <v>103</v>
      </c>
      <c r="AT268" s="2206">
        <v>43760</v>
      </c>
      <c r="AU268" s="2199">
        <v>46.3</v>
      </c>
      <c r="AV268" s="2203">
        <v>9.5299999999999994</v>
      </c>
    </row>
    <row r="269" spans="1:48" ht="15" thickBot="1">
      <c r="A269" s="712" t="s">
        <v>492</v>
      </c>
      <c r="B269" s="711">
        <v>41483</v>
      </c>
      <c r="C269" s="710">
        <v>12.1</v>
      </c>
      <c r="AB269" s="774"/>
      <c r="AC269" s="775"/>
      <c r="AD269" s="714"/>
      <c r="AG269" s="1238">
        <v>43730</v>
      </c>
      <c r="AH269" s="775">
        <v>1674</v>
      </c>
      <c r="AI269" s="714">
        <v>102</v>
      </c>
      <c r="AJ269" s="774">
        <v>42627</v>
      </c>
      <c r="AK269" s="775">
        <v>5557.09</v>
      </c>
      <c r="AL269" s="775">
        <v>8.66</v>
      </c>
      <c r="AM269" s="775">
        <v>1788</v>
      </c>
      <c r="AN269" s="714">
        <v>103</v>
      </c>
      <c r="AT269" s="2206">
        <v>43761</v>
      </c>
      <c r="AU269" s="2199">
        <v>43.1</v>
      </c>
      <c r="AV269" s="2203">
        <v>14.5</v>
      </c>
    </row>
    <row r="270" spans="1:48" ht="15" thickBot="1">
      <c r="A270" s="712" t="s">
        <v>492</v>
      </c>
      <c r="B270" s="711">
        <v>41484</v>
      </c>
      <c r="C270" s="710">
        <v>13.2</v>
      </c>
      <c r="AB270" s="774"/>
      <c r="AC270" s="775"/>
      <c r="AD270" s="714"/>
      <c r="AG270" s="1238">
        <v>43731</v>
      </c>
      <c r="AH270" s="775">
        <v>1668</v>
      </c>
      <c r="AI270" s="714">
        <v>102</v>
      </c>
      <c r="AJ270" s="774">
        <v>42628</v>
      </c>
      <c r="AK270" s="775">
        <v>5557.06</v>
      </c>
      <c r="AL270" s="775">
        <v>8.66</v>
      </c>
      <c r="AM270" s="775">
        <v>1785</v>
      </c>
      <c r="AN270" s="714">
        <v>103</v>
      </c>
      <c r="AT270" s="2206">
        <v>43762</v>
      </c>
      <c r="AU270" s="2199">
        <v>32.9</v>
      </c>
      <c r="AV270" s="2203">
        <v>17.7</v>
      </c>
    </row>
    <row r="271" spans="1:48" ht="15" thickBot="1">
      <c r="A271" s="712" t="s">
        <v>492</v>
      </c>
      <c r="B271" s="711">
        <v>41485</v>
      </c>
      <c r="C271" s="710">
        <v>15.3</v>
      </c>
      <c r="AB271" s="774"/>
      <c r="AC271" s="775"/>
      <c r="AD271" s="714"/>
      <c r="AG271" s="1238">
        <v>43732</v>
      </c>
      <c r="AH271" s="775">
        <v>1661</v>
      </c>
      <c r="AI271" s="714">
        <v>101</v>
      </c>
      <c r="AJ271" s="774">
        <v>42629</v>
      </c>
      <c r="AK271" s="775">
        <v>5557</v>
      </c>
      <c r="AL271" s="775">
        <v>8.66</v>
      </c>
      <c r="AM271" s="775">
        <v>1779</v>
      </c>
      <c r="AN271" s="714">
        <v>103</v>
      </c>
      <c r="AT271" s="2206">
        <v>43763</v>
      </c>
      <c r="AU271" s="2199">
        <v>42</v>
      </c>
      <c r="AV271" s="2203">
        <v>12.4</v>
      </c>
    </row>
    <row r="272" spans="1:48" ht="15" thickBot="1">
      <c r="A272" s="712" t="s">
        <v>492</v>
      </c>
      <c r="B272" s="711">
        <v>41486</v>
      </c>
      <c r="C272" s="710">
        <v>13</v>
      </c>
      <c r="AB272" s="774"/>
      <c r="AC272" s="775"/>
      <c r="AD272" s="714"/>
      <c r="AG272" s="1238">
        <v>43733</v>
      </c>
      <c r="AH272" s="775">
        <v>1653</v>
      </c>
      <c r="AI272" s="714">
        <v>101</v>
      </c>
      <c r="AJ272" s="774">
        <v>42630</v>
      </c>
      <c r="AK272" s="775">
        <v>5556.96</v>
      </c>
      <c r="AL272" s="775">
        <v>8.66</v>
      </c>
      <c r="AM272" s="775">
        <v>1774</v>
      </c>
      <c r="AN272" s="714">
        <v>103</v>
      </c>
      <c r="AT272" s="2206">
        <v>43764</v>
      </c>
      <c r="AU272" s="2199">
        <v>50.5</v>
      </c>
      <c r="AV272" s="2203">
        <v>18.2</v>
      </c>
    </row>
    <row r="273" spans="1:48" ht="15" thickBot="1">
      <c r="A273" s="712" t="s">
        <v>492</v>
      </c>
      <c r="B273" s="711">
        <v>41487</v>
      </c>
      <c r="C273" s="710">
        <v>7.83</v>
      </c>
      <c r="D273" s="710">
        <f>AVERAGE(C273:C303)</f>
        <v>17.107419354838711</v>
      </c>
      <c r="AB273" s="774"/>
      <c r="AC273" s="775"/>
      <c r="AD273" s="714"/>
      <c r="AG273" s="1238">
        <v>43734</v>
      </c>
      <c r="AH273" s="775">
        <v>1649</v>
      </c>
      <c r="AI273" s="714">
        <v>101</v>
      </c>
      <c r="AJ273" s="774">
        <v>42631</v>
      </c>
      <c r="AK273" s="775">
        <v>5556.91</v>
      </c>
      <c r="AL273" s="775">
        <v>8.66</v>
      </c>
      <c r="AM273" s="775">
        <v>1769</v>
      </c>
      <c r="AN273" s="714">
        <v>103</v>
      </c>
      <c r="AT273" s="2206">
        <v>43765</v>
      </c>
      <c r="AU273" s="2199">
        <v>24</v>
      </c>
      <c r="AV273" s="2203">
        <v>19.5</v>
      </c>
    </row>
    <row r="274" spans="1:48" ht="15" thickBot="1">
      <c r="A274" s="712" t="s">
        <v>492</v>
      </c>
      <c r="B274" s="711">
        <v>41488</v>
      </c>
      <c r="C274" s="710">
        <v>6.88</v>
      </c>
      <c r="AB274" s="774"/>
      <c r="AC274" s="775"/>
      <c r="AD274" s="714"/>
      <c r="AG274" s="1238">
        <v>43735</v>
      </c>
      <c r="AH274" s="775">
        <v>1645</v>
      </c>
      <c r="AI274" s="714">
        <v>101</v>
      </c>
      <c r="AJ274" s="774">
        <v>42632</v>
      </c>
      <c r="AK274" s="775">
        <v>5556.85</v>
      </c>
      <c r="AL274" s="775">
        <v>8.66</v>
      </c>
      <c r="AM274" s="775">
        <v>1763</v>
      </c>
      <c r="AN274" s="714">
        <v>103</v>
      </c>
      <c r="AT274" s="2206">
        <v>43766</v>
      </c>
      <c r="AU274" s="2199">
        <v>18.899999999999999</v>
      </c>
      <c r="AV274" s="2203">
        <v>13.9</v>
      </c>
    </row>
    <row r="275" spans="1:48" ht="15" thickBot="1">
      <c r="A275" s="712" t="s">
        <v>492</v>
      </c>
      <c r="B275" s="711">
        <v>41489</v>
      </c>
      <c r="C275" s="710">
        <v>7.04</v>
      </c>
      <c r="AB275" s="774"/>
      <c r="AC275" s="775"/>
      <c r="AD275" s="714"/>
      <c r="AG275" s="1238">
        <v>43736</v>
      </c>
      <c r="AH275" s="775">
        <v>1637</v>
      </c>
      <c r="AI275" s="714">
        <v>101</v>
      </c>
      <c r="AJ275" s="774">
        <v>42633</v>
      </c>
      <c r="AK275" s="775">
        <v>5556.76</v>
      </c>
      <c r="AL275" s="775">
        <v>8.66</v>
      </c>
      <c r="AM275" s="775">
        <v>1754</v>
      </c>
      <c r="AN275" s="714">
        <v>102</v>
      </c>
      <c r="AT275" s="2206">
        <v>43767</v>
      </c>
      <c r="AU275" s="2199">
        <v>13.9</v>
      </c>
      <c r="AV275" s="2203">
        <v>14.6</v>
      </c>
    </row>
    <row r="276" spans="1:48" ht="15" thickBot="1">
      <c r="A276" s="712" t="s">
        <v>492</v>
      </c>
      <c r="B276" s="711">
        <v>41490</v>
      </c>
      <c r="C276" s="710">
        <v>6.53</v>
      </c>
      <c r="AB276" s="774"/>
      <c r="AC276" s="775"/>
      <c r="AD276" s="714"/>
      <c r="AG276" s="1238">
        <v>43737</v>
      </c>
      <c r="AH276" s="775">
        <v>1628</v>
      </c>
      <c r="AI276" s="714">
        <v>100</v>
      </c>
      <c r="AJ276" s="774">
        <v>42634</v>
      </c>
      <c r="AK276" s="775">
        <v>5556.63</v>
      </c>
      <c r="AL276" s="775">
        <v>8.66</v>
      </c>
      <c r="AM276" s="775">
        <v>1740</v>
      </c>
      <c r="AN276" s="714">
        <v>102</v>
      </c>
      <c r="AT276" s="2206">
        <v>43768</v>
      </c>
      <c r="AU276" s="2199">
        <v>13</v>
      </c>
      <c r="AV276" s="2203">
        <v>16.2</v>
      </c>
    </row>
    <row r="277" spans="1:48" ht="15" thickBot="1">
      <c r="A277" s="712" t="s">
        <v>492</v>
      </c>
      <c r="B277" s="711">
        <v>41491</v>
      </c>
      <c r="C277" s="710">
        <v>7.45</v>
      </c>
      <c r="AB277" s="774"/>
      <c r="AC277" s="775"/>
      <c r="AD277" s="714"/>
      <c r="AG277" s="1238">
        <v>43738</v>
      </c>
      <c r="AH277" s="775">
        <v>1619</v>
      </c>
      <c r="AI277" s="714">
        <v>100</v>
      </c>
      <c r="AJ277" s="774">
        <v>42635</v>
      </c>
      <c r="AK277" s="775">
        <v>5556.49</v>
      </c>
      <c r="AL277" s="775">
        <v>8.66</v>
      </c>
      <c r="AM277" s="775">
        <v>1726</v>
      </c>
      <c r="AN277" s="714">
        <v>101</v>
      </c>
      <c r="AT277" s="2206">
        <v>43769</v>
      </c>
      <c r="AU277" s="2199">
        <v>33</v>
      </c>
      <c r="AV277" s="2203">
        <v>18.100000000000001</v>
      </c>
    </row>
    <row r="278" spans="1:48" ht="15" thickBot="1">
      <c r="A278" s="712" t="s">
        <v>492</v>
      </c>
      <c r="B278" s="711">
        <v>41492</v>
      </c>
      <c r="C278" s="710">
        <v>11.5</v>
      </c>
      <c r="AB278" s="774"/>
      <c r="AC278" s="775"/>
      <c r="AD278" s="714"/>
      <c r="AG278" s="1238">
        <v>43739</v>
      </c>
      <c r="AH278" s="775">
        <v>1609</v>
      </c>
      <c r="AI278" s="714">
        <v>99.8</v>
      </c>
      <c r="AJ278" s="774">
        <v>42636</v>
      </c>
      <c r="AK278" s="775">
        <v>5556.39</v>
      </c>
      <c r="AL278" s="775">
        <v>8.66</v>
      </c>
      <c r="AM278" s="775">
        <v>1715</v>
      </c>
      <c r="AN278" s="714">
        <v>101</v>
      </c>
      <c r="AT278" s="2206">
        <v>43770</v>
      </c>
      <c r="AU278" s="2199">
        <v>30.8</v>
      </c>
      <c r="AV278" s="2203">
        <v>25.2</v>
      </c>
    </row>
    <row r="279" spans="1:48" ht="15" thickBot="1">
      <c r="A279" s="712" t="s">
        <v>492</v>
      </c>
      <c r="B279" s="711">
        <v>41493</v>
      </c>
      <c r="C279" s="710">
        <v>13.3</v>
      </c>
      <c r="AB279" s="774"/>
      <c r="AC279" s="775"/>
      <c r="AD279" s="714"/>
      <c r="AG279" s="1238">
        <v>43740</v>
      </c>
      <c r="AH279" s="775">
        <v>1602</v>
      </c>
      <c r="AI279" s="714">
        <v>99.6</v>
      </c>
      <c r="AJ279" s="774">
        <v>42637</v>
      </c>
      <c r="AK279" s="775">
        <v>5556.26</v>
      </c>
      <c r="AL279" s="775">
        <v>8.66</v>
      </c>
      <c r="AM279" s="775">
        <v>1702</v>
      </c>
      <c r="AN279" s="714">
        <v>101</v>
      </c>
      <c r="AT279" s="2206">
        <v>43771</v>
      </c>
      <c r="AU279" s="2199">
        <v>37.5</v>
      </c>
      <c r="AV279" s="2203">
        <v>20.100000000000001</v>
      </c>
    </row>
    <row r="280" spans="1:48" ht="15" thickBot="1">
      <c r="A280" s="712" t="s">
        <v>492</v>
      </c>
      <c r="B280" s="711">
        <v>41494</v>
      </c>
      <c r="C280" s="710">
        <v>12.6</v>
      </c>
      <c r="AB280" s="774"/>
      <c r="AC280" s="775"/>
      <c r="AD280" s="714"/>
      <c r="AG280" s="1238">
        <v>43741</v>
      </c>
      <c r="AH280" s="775">
        <v>1596</v>
      </c>
      <c r="AI280" s="714">
        <v>99.5</v>
      </c>
      <c r="AJ280" s="774">
        <v>42638</v>
      </c>
      <c r="AK280" s="775">
        <v>5556.12</v>
      </c>
      <c r="AL280" s="775">
        <v>8.66</v>
      </c>
      <c r="AM280" s="775">
        <v>1687</v>
      </c>
      <c r="AN280" s="714">
        <v>100</v>
      </c>
      <c r="AT280" s="2206">
        <v>43772</v>
      </c>
      <c r="AU280" s="2199">
        <v>44.3</v>
      </c>
      <c r="AV280" s="2203">
        <v>17.100000000000001</v>
      </c>
    </row>
    <row r="281" spans="1:48" ht="15" thickBot="1">
      <c r="A281" s="712" t="s">
        <v>492</v>
      </c>
      <c r="B281" s="711">
        <v>41495</v>
      </c>
      <c r="C281" s="710">
        <v>13.1</v>
      </c>
      <c r="AB281" s="774"/>
      <c r="AC281" s="775"/>
      <c r="AD281" s="714"/>
      <c r="AG281" s="1238">
        <v>43742</v>
      </c>
      <c r="AH281" s="775">
        <v>1590</v>
      </c>
      <c r="AI281" s="714">
        <v>99.3</v>
      </c>
      <c r="AJ281" s="774">
        <v>42639</v>
      </c>
      <c r="AK281" s="775">
        <v>5556.03</v>
      </c>
      <c r="AL281" s="775">
        <v>8.66</v>
      </c>
      <c r="AM281" s="775">
        <v>1678</v>
      </c>
      <c r="AN281" s="714">
        <v>100</v>
      </c>
      <c r="AT281" s="2206">
        <v>43773</v>
      </c>
      <c r="AU281" s="2199">
        <v>39.4</v>
      </c>
      <c r="AV281" s="2203">
        <v>16.899999999999999</v>
      </c>
    </row>
    <row r="282" spans="1:48" ht="15" thickBot="1">
      <c r="A282" s="712" t="s">
        <v>492</v>
      </c>
      <c r="B282" s="711">
        <v>41496</v>
      </c>
      <c r="C282" s="710">
        <v>13.2</v>
      </c>
      <c r="AB282" s="774"/>
      <c r="AC282" s="775"/>
      <c r="AD282" s="714"/>
      <c r="AG282" s="1238">
        <v>43743</v>
      </c>
      <c r="AH282" s="775">
        <v>1582</v>
      </c>
      <c r="AI282" s="714">
        <v>99.1</v>
      </c>
      <c r="AJ282" s="774">
        <v>42640</v>
      </c>
      <c r="AK282" s="775">
        <v>5555.92</v>
      </c>
      <c r="AL282" s="775">
        <v>8.66</v>
      </c>
      <c r="AM282" s="775">
        <v>1667</v>
      </c>
      <c r="AN282" s="714">
        <v>99.8</v>
      </c>
      <c r="AT282" s="2206">
        <v>43774</v>
      </c>
      <c r="AU282" s="2199">
        <v>43.8</v>
      </c>
      <c r="AV282" s="2203">
        <v>15.6</v>
      </c>
    </row>
    <row r="283" spans="1:48" ht="15" thickBot="1">
      <c r="A283" s="712" t="s">
        <v>492</v>
      </c>
      <c r="B283" s="711">
        <v>41497</v>
      </c>
      <c r="C283" s="710">
        <v>13</v>
      </c>
      <c r="AB283" s="774"/>
      <c r="AC283" s="775"/>
      <c r="AD283" s="714"/>
      <c r="AG283" s="1238">
        <v>43744</v>
      </c>
      <c r="AH283" s="775">
        <v>1572</v>
      </c>
      <c r="AI283" s="714">
        <v>98.9</v>
      </c>
      <c r="AJ283" s="774">
        <v>42641</v>
      </c>
      <c r="AK283" s="775">
        <v>5555.81</v>
      </c>
      <c r="AL283" s="775">
        <v>8.66</v>
      </c>
      <c r="AM283" s="775">
        <v>1656</v>
      </c>
      <c r="AN283" s="714">
        <v>99.5</v>
      </c>
      <c r="AT283" s="2206">
        <v>43775</v>
      </c>
      <c r="AU283" s="2199">
        <v>38.5</v>
      </c>
      <c r="AV283" s="2203">
        <v>15</v>
      </c>
    </row>
    <row r="284" spans="1:48" ht="15" thickBot="1">
      <c r="A284" s="712" t="s">
        <v>492</v>
      </c>
      <c r="B284" s="711">
        <v>41498</v>
      </c>
      <c r="C284" s="710">
        <v>12.9</v>
      </c>
      <c r="AB284" s="774"/>
      <c r="AC284" s="775"/>
      <c r="AD284" s="714"/>
      <c r="AG284" s="1238">
        <v>43745</v>
      </c>
      <c r="AH284" s="775">
        <v>1561</v>
      </c>
      <c r="AI284" s="714">
        <v>98.6</v>
      </c>
      <c r="AJ284" s="774">
        <v>42642</v>
      </c>
      <c r="AK284" s="775">
        <v>5555.68</v>
      </c>
      <c r="AL284" s="775">
        <v>8.66</v>
      </c>
      <c r="AM284" s="775">
        <v>1644</v>
      </c>
      <c r="AN284" s="714">
        <v>99.2</v>
      </c>
      <c r="AT284" s="2206">
        <v>43776</v>
      </c>
      <c r="AU284" s="2199">
        <v>36.1</v>
      </c>
      <c r="AV284" s="2203">
        <v>15.2</v>
      </c>
    </row>
    <row r="285" spans="1:48" ht="15" thickBot="1">
      <c r="A285" s="712" t="s">
        <v>492</v>
      </c>
      <c r="B285" s="711">
        <v>41499</v>
      </c>
      <c r="C285" s="710">
        <v>25.2</v>
      </c>
      <c r="AB285" s="774"/>
      <c r="AC285" s="775"/>
      <c r="AD285" s="714"/>
      <c r="AG285" s="1238">
        <v>43746</v>
      </c>
      <c r="AH285" s="775">
        <v>1551</v>
      </c>
      <c r="AI285" s="714">
        <v>98.3</v>
      </c>
      <c r="AJ285" s="774">
        <v>42643</v>
      </c>
      <c r="AK285" s="775">
        <v>5555.59</v>
      </c>
      <c r="AL285" s="775">
        <v>8.66</v>
      </c>
      <c r="AM285" s="775">
        <v>1635</v>
      </c>
      <c r="AN285" s="714">
        <v>99</v>
      </c>
      <c r="AT285" s="2206">
        <v>43777</v>
      </c>
      <c r="AU285" s="2199">
        <v>50.8</v>
      </c>
      <c r="AV285" s="2203">
        <v>14.2</v>
      </c>
    </row>
    <row r="286" spans="1:48" ht="15" thickBot="1">
      <c r="A286" s="712" t="s">
        <v>492</v>
      </c>
      <c r="B286" s="711">
        <v>41500</v>
      </c>
      <c r="C286" s="710">
        <v>32.200000000000003</v>
      </c>
      <c r="AB286" s="774"/>
      <c r="AC286" s="775"/>
      <c r="AD286" s="714"/>
      <c r="AG286" s="1238">
        <v>43747</v>
      </c>
      <c r="AH286" s="775">
        <v>1545</v>
      </c>
      <c r="AI286" s="714">
        <v>98.2</v>
      </c>
      <c r="AJ286" s="774">
        <v>42644</v>
      </c>
      <c r="AK286" s="775">
        <v>5555.51</v>
      </c>
      <c r="AL286" s="775">
        <v>8.66</v>
      </c>
      <c r="AM286" s="775">
        <v>1627</v>
      </c>
      <c r="AN286" s="714">
        <v>98.8</v>
      </c>
      <c r="AT286" s="2206">
        <v>43778</v>
      </c>
      <c r="AU286" s="2199">
        <v>58.2</v>
      </c>
      <c r="AV286" s="2203">
        <v>16.3</v>
      </c>
    </row>
    <row r="287" spans="1:48" ht="15" thickBot="1">
      <c r="A287" s="712" t="s">
        <v>492</v>
      </c>
      <c r="B287" s="711">
        <v>41501</v>
      </c>
      <c r="C287" s="710">
        <v>32</v>
      </c>
      <c r="AB287" s="774"/>
      <c r="AC287" s="775"/>
      <c r="AD287" s="714"/>
      <c r="AG287" s="1238">
        <v>43748</v>
      </c>
      <c r="AH287" s="775">
        <v>1544</v>
      </c>
      <c r="AI287" s="714">
        <v>98.1</v>
      </c>
      <c r="AJ287" s="774">
        <v>42645</v>
      </c>
      <c r="AK287" s="775">
        <v>5555.45</v>
      </c>
      <c r="AL287" s="775">
        <v>8.66</v>
      </c>
      <c r="AM287" s="775">
        <v>1621</v>
      </c>
      <c r="AN287" s="714">
        <v>98.6</v>
      </c>
      <c r="AT287" s="2206">
        <v>43779</v>
      </c>
      <c r="AU287" s="2199">
        <v>50.3</v>
      </c>
      <c r="AV287" s="2203">
        <v>15.6</v>
      </c>
    </row>
    <row r="288" spans="1:48" ht="15" thickBot="1">
      <c r="A288" s="712" t="s">
        <v>492</v>
      </c>
      <c r="B288" s="711">
        <v>41502</v>
      </c>
      <c r="C288" s="710">
        <v>23.6</v>
      </c>
      <c r="AB288" s="774"/>
      <c r="AC288" s="775"/>
      <c r="AD288" s="714"/>
      <c r="AG288" s="1238">
        <v>43749</v>
      </c>
      <c r="AH288" s="775">
        <v>1547</v>
      </c>
      <c r="AI288" s="714">
        <v>98.2</v>
      </c>
      <c r="AJ288" s="774">
        <v>42646</v>
      </c>
      <c r="AK288" s="775">
        <v>5555.39</v>
      </c>
      <c r="AL288" s="775">
        <v>8.66</v>
      </c>
      <c r="AM288" s="775">
        <v>1615</v>
      </c>
      <c r="AN288" s="714">
        <v>98.5</v>
      </c>
      <c r="AT288" s="2206">
        <v>43780</v>
      </c>
      <c r="AU288" s="2199">
        <v>19.5</v>
      </c>
      <c r="AV288" s="2203">
        <v>16.5</v>
      </c>
    </row>
    <row r="289" spans="1:48" ht="15" thickBot="1">
      <c r="A289" s="712" t="s">
        <v>492</v>
      </c>
      <c r="B289" s="711">
        <v>41503</v>
      </c>
      <c r="C289" s="710">
        <v>18.600000000000001</v>
      </c>
      <c r="AB289" s="774"/>
      <c r="AC289" s="775"/>
      <c r="AD289" s="714"/>
      <c r="AG289" s="1238">
        <v>43750</v>
      </c>
      <c r="AH289" s="775">
        <v>1545</v>
      </c>
      <c r="AI289" s="714">
        <v>98.2</v>
      </c>
      <c r="AJ289" s="774">
        <v>42647</v>
      </c>
      <c r="AK289" s="775">
        <v>5555.21</v>
      </c>
      <c r="AL289" s="775">
        <v>8.66</v>
      </c>
      <c r="AM289" s="775">
        <v>1598</v>
      </c>
      <c r="AN289" s="714">
        <v>98</v>
      </c>
      <c r="AT289" s="2206">
        <v>43781</v>
      </c>
      <c r="AU289" s="2199">
        <v>39.9</v>
      </c>
      <c r="AV289" s="2203">
        <v>16.399999999999999</v>
      </c>
    </row>
    <row r="290" spans="1:48" ht="15" thickBot="1">
      <c r="A290" s="712" t="s">
        <v>492</v>
      </c>
      <c r="B290" s="711">
        <v>41504</v>
      </c>
      <c r="C290" s="710">
        <v>18.600000000000001</v>
      </c>
      <c r="AB290" s="774"/>
      <c r="AC290" s="775"/>
      <c r="AD290" s="714"/>
      <c r="AG290" s="1238">
        <v>43751</v>
      </c>
      <c r="AH290" s="775">
        <v>1547</v>
      </c>
      <c r="AI290" s="714">
        <v>98.3</v>
      </c>
      <c r="AJ290" s="774">
        <v>42648</v>
      </c>
      <c r="AK290" s="775">
        <v>5555.07</v>
      </c>
      <c r="AL290" s="775">
        <v>8.66</v>
      </c>
      <c r="AM290" s="775">
        <v>1584</v>
      </c>
      <c r="AN290" s="714">
        <v>97.7</v>
      </c>
      <c r="AT290" s="2206">
        <v>43782</v>
      </c>
      <c r="AU290" s="2199">
        <v>46.4</v>
      </c>
      <c r="AV290" s="2203">
        <v>13.1</v>
      </c>
    </row>
    <row r="291" spans="1:48" ht="15" thickBot="1">
      <c r="A291" s="712" t="s">
        <v>492</v>
      </c>
      <c r="B291" s="711">
        <v>41505</v>
      </c>
      <c r="C291" s="710">
        <v>17.8</v>
      </c>
      <c r="AB291" s="774"/>
      <c r="AC291" s="775"/>
      <c r="AD291" s="714"/>
      <c r="AG291" s="1238">
        <v>43752</v>
      </c>
      <c r="AH291" s="775">
        <v>1554</v>
      </c>
      <c r="AI291" s="714">
        <v>98.4</v>
      </c>
      <c r="AJ291" s="774">
        <v>42649</v>
      </c>
      <c r="AK291" s="775">
        <v>5555</v>
      </c>
      <c r="AL291" s="775">
        <v>8.66</v>
      </c>
      <c r="AM291" s="775">
        <v>1577</v>
      </c>
      <c r="AN291" s="714">
        <v>97.5</v>
      </c>
      <c r="AT291" s="2206">
        <v>43783</v>
      </c>
      <c r="AU291" s="2199">
        <v>41.4</v>
      </c>
      <c r="AV291" s="2203">
        <v>16.2</v>
      </c>
    </row>
    <row r="292" spans="1:48" ht="15" thickBot="1">
      <c r="A292" s="712" t="s">
        <v>492</v>
      </c>
      <c r="B292" s="711">
        <v>41506</v>
      </c>
      <c r="C292" s="710">
        <v>12.3</v>
      </c>
      <c r="AB292" s="774"/>
      <c r="AC292" s="775"/>
      <c r="AD292" s="714"/>
      <c r="AG292" s="1238">
        <v>43753</v>
      </c>
      <c r="AH292" s="775">
        <v>1558</v>
      </c>
      <c r="AI292" s="714">
        <v>98.5</v>
      </c>
      <c r="AJ292" s="774">
        <v>42650</v>
      </c>
      <c r="AK292" s="775">
        <v>5555.02</v>
      </c>
      <c r="AL292" s="775">
        <v>8.66</v>
      </c>
      <c r="AM292" s="775">
        <v>1579</v>
      </c>
      <c r="AN292" s="714">
        <v>97.6</v>
      </c>
      <c r="AT292" s="2206">
        <v>43784</v>
      </c>
      <c r="AU292" s="2199">
        <v>51.6</v>
      </c>
      <c r="AV292" s="2203">
        <v>13.9</v>
      </c>
    </row>
    <row r="293" spans="1:48" ht="15" thickBot="1">
      <c r="A293" s="712" t="s">
        <v>492</v>
      </c>
      <c r="B293" s="711">
        <v>41507</v>
      </c>
      <c r="C293" s="710">
        <v>10.4</v>
      </c>
      <c r="AB293" s="774"/>
      <c r="AC293" s="775"/>
      <c r="AD293" s="714"/>
      <c r="AG293" s="1238">
        <v>43754</v>
      </c>
      <c r="AH293" s="775">
        <v>1562</v>
      </c>
      <c r="AI293" s="714">
        <v>98.6</v>
      </c>
      <c r="AJ293" s="774">
        <v>42651</v>
      </c>
      <c r="AK293" s="775">
        <v>5554.98</v>
      </c>
      <c r="AL293" s="775">
        <v>8.66</v>
      </c>
      <c r="AM293" s="775">
        <v>1575</v>
      </c>
      <c r="AN293" s="714">
        <v>97.4</v>
      </c>
      <c r="AT293" s="2206">
        <v>43785</v>
      </c>
      <c r="AU293" s="2199">
        <v>48.5</v>
      </c>
      <c r="AV293" s="2203">
        <v>13.4</v>
      </c>
    </row>
    <row r="294" spans="1:48" ht="15" thickBot="1">
      <c r="A294" s="712" t="s">
        <v>492</v>
      </c>
      <c r="B294" s="711">
        <v>41508</v>
      </c>
      <c r="C294" s="710">
        <v>10.4</v>
      </c>
      <c r="AB294" s="774"/>
      <c r="AC294" s="775"/>
      <c r="AD294" s="714"/>
      <c r="AG294" s="1238">
        <v>43755</v>
      </c>
      <c r="AH294" s="775">
        <v>1565</v>
      </c>
      <c r="AI294" s="714">
        <v>98.7</v>
      </c>
      <c r="AJ294" s="774">
        <v>42652</v>
      </c>
      <c r="AK294" s="775">
        <v>5554.99</v>
      </c>
      <c r="AL294" s="775">
        <v>8.66</v>
      </c>
      <c r="AM294" s="775">
        <v>1576</v>
      </c>
      <c r="AN294" s="714">
        <v>97.5</v>
      </c>
      <c r="AT294" s="2206">
        <v>43786</v>
      </c>
      <c r="AU294" s="2199">
        <v>44.9</v>
      </c>
      <c r="AV294" s="2203">
        <v>13.7</v>
      </c>
    </row>
    <row r="295" spans="1:48" ht="15" thickBot="1">
      <c r="A295" s="712" t="s">
        <v>492</v>
      </c>
      <c r="B295" s="711">
        <v>41509</v>
      </c>
      <c r="C295" s="710">
        <v>10.5</v>
      </c>
      <c r="AB295" s="774"/>
      <c r="AC295" s="775"/>
      <c r="AD295" s="714"/>
      <c r="AG295" s="1238">
        <v>43756</v>
      </c>
      <c r="AH295" s="775">
        <v>1567</v>
      </c>
      <c r="AI295" s="714">
        <v>98.7</v>
      </c>
      <c r="AJ295" s="774">
        <v>42653</v>
      </c>
      <c r="AK295" s="775">
        <v>5554.91</v>
      </c>
      <c r="AL295" s="775">
        <v>8.66</v>
      </c>
      <c r="AM295" s="775">
        <v>1568</v>
      </c>
      <c r="AN295" s="714">
        <v>97.3</v>
      </c>
      <c r="AT295" s="2206">
        <v>43787</v>
      </c>
      <c r="AU295" s="2199">
        <v>56.3</v>
      </c>
      <c r="AV295" s="2203">
        <v>14.3</v>
      </c>
    </row>
    <row r="296" spans="1:48" ht="15" thickBot="1">
      <c r="A296" s="712" t="s">
        <v>492</v>
      </c>
      <c r="B296" s="711">
        <v>41510</v>
      </c>
      <c r="C296" s="710">
        <v>17.8</v>
      </c>
      <c r="AB296" s="774"/>
      <c r="AC296" s="775"/>
      <c r="AD296" s="714"/>
      <c r="AG296" s="1238">
        <v>43757</v>
      </c>
      <c r="AH296" s="775">
        <v>1569</v>
      </c>
      <c r="AI296" s="714">
        <v>98.8</v>
      </c>
      <c r="AJ296" s="774">
        <v>42654</v>
      </c>
      <c r="AK296" s="775">
        <v>5554.88</v>
      </c>
      <c r="AL296" s="775">
        <v>8.66</v>
      </c>
      <c r="AM296" s="775">
        <v>1565</v>
      </c>
      <c r="AN296" s="714">
        <v>97.2</v>
      </c>
      <c r="AT296" s="2206">
        <v>43788</v>
      </c>
      <c r="AU296" s="2199">
        <v>49.5</v>
      </c>
      <c r="AV296" s="2203">
        <v>13.3</v>
      </c>
    </row>
    <row r="297" spans="1:48" ht="15" thickBot="1">
      <c r="A297" s="712" t="s">
        <v>492</v>
      </c>
      <c r="B297" s="711">
        <v>41511</v>
      </c>
      <c r="C297" s="710">
        <v>28.5</v>
      </c>
      <c r="AB297" s="774"/>
      <c r="AC297" s="775"/>
      <c r="AD297" s="714"/>
      <c r="AG297" s="1238">
        <v>43758</v>
      </c>
      <c r="AH297" s="775">
        <v>1570</v>
      </c>
      <c r="AI297" s="714">
        <v>98.8</v>
      </c>
      <c r="AJ297" s="774">
        <v>42655</v>
      </c>
      <c r="AK297" s="775">
        <v>5554.84</v>
      </c>
      <c r="AL297" s="775">
        <v>8.66</v>
      </c>
      <c r="AM297" s="775">
        <v>1561</v>
      </c>
      <c r="AN297" s="714">
        <v>97.1</v>
      </c>
      <c r="AT297" s="2206">
        <v>43789</v>
      </c>
      <c r="AU297" s="2199">
        <v>43.1</v>
      </c>
      <c r="AV297" s="2203">
        <v>14.3</v>
      </c>
    </row>
    <row r="298" spans="1:48" ht="15" thickBot="1">
      <c r="A298" s="712" t="s">
        <v>492</v>
      </c>
      <c r="B298" s="711">
        <v>41512</v>
      </c>
      <c r="C298" s="710">
        <v>27.7</v>
      </c>
      <c r="AB298" s="774"/>
      <c r="AC298" s="775"/>
      <c r="AD298" s="714"/>
      <c r="AG298" s="1238">
        <v>43759</v>
      </c>
      <c r="AH298" s="775">
        <v>1571</v>
      </c>
      <c r="AI298" s="714">
        <v>98.8</v>
      </c>
      <c r="AJ298" s="774">
        <v>42656</v>
      </c>
      <c r="AK298" s="775">
        <v>5554.77</v>
      </c>
      <c r="AL298" s="775">
        <v>8.66</v>
      </c>
      <c r="AM298" s="775">
        <v>1555</v>
      </c>
      <c r="AN298" s="714">
        <v>96.9</v>
      </c>
      <c r="AT298" s="2206">
        <v>43790</v>
      </c>
      <c r="AU298" s="2199">
        <v>27.3</v>
      </c>
      <c r="AV298" s="2203">
        <v>14.6</v>
      </c>
    </row>
    <row r="299" spans="1:48" ht="15" thickBot="1">
      <c r="A299" s="712" t="s">
        <v>492</v>
      </c>
      <c r="B299" s="711">
        <v>41513</v>
      </c>
      <c r="C299" s="710">
        <v>27</v>
      </c>
      <c r="AB299" s="774"/>
      <c r="AC299" s="775"/>
      <c r="AD299" s="714"/>
      <c r="AG299" s="1238">
        <v>43760</v>
      </c>
      <c r="AH299" s="775">
        <v>1569</v>
      </c>
      <c r="AI299" s="714">
        <v>98.8</v>
      </c>
      <c r="AJ299" s="774">
        <v>42657</v>
      </c>
      <c r="AK299" s="775">
        <v>5554.75</v>
      </c>
      <c r="AL299" s="775">
        <v>8.66</v>
      </c>
      <c r="AM299" s="775">
        <v>1552</v>
      </c>
      <c r="AN299" s="714">
        <v>96.9</v>
      </c>
      <c r="AT299" s="2206">
        <v>43791</v>
      </c>
      <c r="AU299" s="2199">
        <v>30.9</v>
      </c>
      <c r="AV299" s="2203">
        <v>12.7</v>
      </c>
    </row>
    <row r="300" spans="1:48" ht="15" thickBot="1">
      <c r="A300" s="712" t="s">
        <v>492</v>
      </c>
      <c r="B300" s="711">
        <v>41514</v>
      </c>
      <c r="C300" s="710">
        <v>27.1</v>
      </c>
      <c r="AB300" s="774"/>
      <c r="AC300" s="775"/>
      <c r="AD300" s="714"/>
      <c r="AG300" s="1238">
        <v>43761</v>
      </c>
      <c r="AH300" s="775">
        <v>1573</v>
      </c>
      <c r="AI300" s="714">
        <v>98.9</v>
      </c>
      <c r="AJ300" s="774">
        <v>42658</v>
      </c>
      <c r="AK300" s="775">
        <v>5554.74</v>
      </c>
      <c r="AL300" s="775">
        <v>8.66</v>
      </c>
      <c r="AM300" s="775">
        <v>1552</v>
      </c>
      <c r="AN300" s="714">
        <v>96.8</v>
      </c>
      <c r="AT300" s="2206">
        <v>43792</v>
      </c>
      <c r="AU300" s="2199">
        <v>40.700000000000003</v>
      </c>
      <c r="AV300" s="2203">
        <v>12.7</v>
      </c>
    </row>
    <row r="301" spans="1:48" ht="15" thickBot="1">
      <c r="A301" s="712" t="s">
        <v>492</v>
      </c>
      <c r="B301" s="711">
        <v>41515</v>
      </c>
      <c r="C301" s="710">
        <v>27</v>
      </c>
      <c r="AB301" s="774"/>
      <c r="AC301" s="775"/>
      <c r="AD301" s="714"/>
      <c r="AG301" s="1238">
        <v>43762</v>
      </c>
      <c r="AH301" s="775">
        <v>1610</v>
      </c>
      <c r="AI301" s="714">
        <v>99.8</v>
      </c>
      <c r="AJ301" s="774">
        <v>42659</v>
      </c>
      <c r="AK301" s="775">
        <v>5554.74</v>
      </c>
      <c r="AL301" s="775">
        <v>8.66</v>
      </c>
      <c r="AM301" s="775">
        <v>1551</v>
      </c>
      <c r="AN301" s="714">
        <v>96.8</v>
      </c>
      <c r="AT301" s="2206">
        <v>43793</v>
      </c>
      <c r="AU301" s="2199">
        <v>45.2</v>
      </c>
      <c r="AV301" s="2203">
        <v>11.8</v>
      </c>
    </row>
    <row r="302" spans="1:48" ht="15" thickBot="1">
      <c r="A302" s="712" t="s">
        <v>492</v>
      </c>
      <c r="B302" s="711">
        <v>41516</v>
      </c>
      <c r="C302" s="710">
        <v>21.1</v>
      </c>
      <c r="AB302" s="774"/>
      <c r="AC302" s="775"/>
      <c r="AD302" s="714"/>
      <c r="AG302" s="1238">
        <v>43763</v>
      </c>
      <c r="AH302" s="775">
        <v>1629</v>
      </c>
      <c r="AI302" s="714">
        <v>100</v>
      </c>
      <c r="AJ302" s="774">
        <v>42660</v>
      </c>
      <c r="AK302" s="775">
        <v>5554.71</v>
      </c>
      <c r="AL302" s="775">
        <v>8.66</v>
      </c>
      <c r="AM302" s="775">
        <v>1549</v>
      </c>
      <c r="AN302" s="714">
        <v>96.8</v>
      </c>
      <c r="AT302" s="2206">
        <v>43794</v>
      </c>
      <c r="AU302" s="2199">
        <v>33.4</v>
      </c>
      <c r="AV302" s="2203">
        <v>15.4</v>
      </c>
    </row>
    <row r="303" spans="1:48" ht="15" thickBot="1">
      <c r="A303" s="712" t="s">
        <v>492</v>
      </c>
      <c r="B303" s="711">
        <v>41517</v>
      </c>
      <c r="C303" s="710">
        <v>17.2</v>
      </c>
      <c r="AB303" s="774"/>
      <c r="AC303" s="775"/>
      <c r="AD303" s="714"/>
      <c r="AG303" s="1238">
        <v>43764</v>
      </c>
      <c r="AH303" s="775">
        <v>1646</v>
      </c>
      <c r="AI303" s="714">
        <v>101</v>
      </c>
      <c r="AJ303" s="774">
        <v>42661</v>
      </c>
      <c r="AK303" s="775">
        <v>5554.67</v>
      </c>
      <c r="AL303" s="775">
        <v>8.66</v>
      </c>
      <c r="AM303" s="775">
        <v>1545</v>
      </c>
      <c r="AN303" s="714">
        <v>96.7</v>
      </c>
      <c r="AT303" s="2206">
        <v>43795</v>
      </c>
      <c r="AU303" s="2199">
        <v>20.7</v>
      </c>
      <c r="AV303" s="2203">
        <v>15.9</v>
      </c>
    </row>
    <row r="304" spans="1:48" ht="15" thickBot="1">
      <c r="A304" s="712" t="s">
        <v>492</v>
      </c>
      <c r="B304" s="711">
        <v>41518</v>
      </c>
      <c r="C304" s="710">
        <v>17.2</v>
      </c>
      <c r="D304" s="710">
        <f>AVERAGE(C304:C333)</f>
        <v>215.09</v>
      </c>
      <c r="AB304" s="774"/>
      <c r="AC304" s="775"/>
      <c r="AD304" s="714"/>
      <c r="AG304" s="1238">
        <v>43765</v>
      </c>
      <c r="AH304" s="775">
        <v>1681</v>
      </c>
      <c r="AI304" s="714">
        <v>102</v>
      </c>
      <c r="AJ304" s="774">
        <v>42662</v>
      </c>
      <c r="AK304" s="775">
        <v>5554.63</v>
      </c>
      <c r="AL304" s="775">
        <v>8.66</v>
      </c>
      <c r="AM304" s="775">
        <v>1541</v>
      </c>
      <c r="AN304" s="714">
        <v>96.6</v>
      </c>
      <c r="AT304" s="2206">
        <v>43796</v>
      </c>
      <c r="AU304" s="2199">
        <v>15.1</v>
      </c>
      <c r="AV304" s="2203">
        <v>14.1</v>
      </c>
    </row>
    <row r="305" spans="1:48" ht="15" thickBot="1">
      <c r="A305" s="712" t="s">
        <v>492</v>
      </c>
      <c r="B305" s="711">
        <v>41519</v>
      </c>
      <c r="C305" s="710">
        <v>33.299999999999997</v>
      </c>
      <c r="AB305" s="774"/>
      <c r="AC305" s="775"/>
      <c r="AD305" s="714"/>
      <c r="AG305" s="1238">
        <v>43766</v>
      </c>
      <c r="AH305" s="775">
        <v>1709</v>
      </c>
      <c r="AI305" s="714">
        <v>103</v>
      </c>
      <c r="AJ305" s="774">
        <v>42663</v>
      </c>
      <c r="AK305" s="775">
        <v>5554.59</v>
      </c>
      <c r="AL305" s="775">
        <v>8.66</v>
      </c>
      <c r="AM305" s="775">
        <v>1537</v>
      </c>
      <c r="AN305" s="714">
        <v>96.5</v>
      </c>
      <c r="AT305" s="2206">
        <v>43797</v>
      </c>
      <c r="AU305" s="2199">
        <v>19.5</v>
      </c>
      <c r="AV305" s="2203">
        <v>20.6</v>
      </c>
    </row>
    <row r="306" spans="1:48" ht="15" thickBot="1">
      <c r="A306" s="712" t="s">
        <v>492</v>
      </c>
      <c r="B306" s="711">
        <v>41520</v>
      </c>
      <c r="C306" s="710">
        <v>47.1</v>
      </c>
      <c r="AB306" s="774"/>
      <c r="AC306" s="775"/>
      <c r="AD306" s="714"/>
      <c r="AG306" s="1238">
        <v>43767</v>
      </c>
      <c r="AH306" s="775">
        <v>1709</v>
      </c>
      <c r="AI306" s="714">
        <v>103</v>
      </c>
      <c r="AJ306" s="774">
        <v>42664</v>
      </c>
      <c r="AK306" s="775">
        <v>5554.54</v>
      </c>
      <c r="AL306" s="775">
        <v>8.66</v>
      </c>
      <c r="AM306" s="775">
        <v>1532</v>
      </c>
      <c r="AN306" s="714">
        <v>96.4</v>
      </c>
      <c r="AT306" s="2206">
        <v>43798</v>
      </c>
      <c r="AU306" s="2199">
        <v>24.6</v>
      </c>
      <c r="AV306" s="2203">
        <v>38.9</v>
      </c>
    </row>
    <row r="307" spans="1:48" ht="15" thickBot="1">
      <c r="A307" s="712" t="s">
        <v>492</v>
      </c>
      <c r="B307" s="711">
        <v>41521</v>
      </c>
      <c r="C307" s="710">
        <v>46.3</v>
      </c>
      <c r="AB307" s="774"/>
      <c r="AC307" s="775"/>
      <c r="AD307" s="714"/>
      <c r="AG307" s="1238">
        <v>43768</v>
      </c>
      <c r="AH307" s="775">
        <v>1681</v>
      </c>
      <c r="AI307" s="714">
        <v>102</v>
      </c>
      <c r="AJ307" s="774">
        <v>42665</v>
      </c>
      <c r="AK307" s="775">
        <v>5554.55</v>
      </c>
      <c r="AL307" s="775">
        <v>8.66</v>
      </c>
      <c r="AM307" s="775">
        <v>1533</v>
      </c>
      <c r="AN307" s="714">
        <v>96.4</v>
      </c>
      <c r="AT307" s="2206">
        <v>43799</v>
      </c>
      <c r="AU307" s="2199">
        <v>32</v>
      </c>
      <c r="AV307" s="2203">
        <v>28</v>
      </c>
    </row>
    <row r="308" spans="1:48" ht="15" thickBot="1">
      <c r="A308" s="712" t="s">
        <v>492</v>
      </c>
      <c r="B308" s="711">
        <v>41522</v>
      </c>
      <c r="C308" s="710">
        <v>44.1</v>
      </c>
      <c r="AB308" s="774"/>
      <c r="AC308" s="775"/>
      <c r="AD308" s="714"/>
      <c r="AG308" s="1238">
        <v>43769</v>
      </c>
      <c r="AH308" s="775">
        <v>1664</v>
      </c>
      <c r="AI308" s="714">
        <v>101</v>
      </c>
      <c r="AJ308" s="774">
        <v>42666</v>
      </c>
      <c r="AK308" s="775">
        <v>5554.6</v>
      </c>
      <c r="AL308" s="775">
        <v>8.66</v>
      </c>
      <c r="AM308" s="775">
        <v>1538</v>
      </c>
      <c r="AN308" s="714">
        <v>96.5</v>
      </c>
      <c r="AT308" s="2206">
        <v>43800</v>
      </c>
      <c r="AU308" s="2199">
        <v>27.2</v>
      </c>
      <c r="AV308" s="2203">
        <v>22.3</v>
      </c>
    </row>
    <row r="309" spans="1:48" ht="15" thickBot="1">
      <c r="A309" s="712" t="s">
        <v>492</v>
      </c>
      <c r="B309" s="711">
        <v>41523</v>
      </c>
      <c r="C309" s="710">
        <v>36.6</v>
      </c>
      <c r="AB309" s="774"/>
      <c r="AC309" s="775"/>
      <c r="AD309" s="714"/>
      <c r="AG309" s="1238">
        <v>43770</v>
      </c>
      <c r="AH309" s="775">
        <v>1645</v>
      </c>
      <c r="AI309" s="714">
        <v>101</v>
      </c>
      <c r="AJ309" s="774">
        <v>42667</v>
      </c>
      <c r="AK309" s="775">
        <v>5554.64</v>
      </c>
      <c r="AL309" s="775">
        <v>8.66</v>
      </c>
      <c r="AM309" s="775">
        <v>1542</v>
      </c>
      <c r="AN309" s="714">
        <v>96.6</v>
      </c>
      <c r="AT309" s="2206">
        <v>43801</v>
      </c>
      <c r="AU309" s="2199">
        <v>41.1</v>
      </c>
      <c r="AV309" s="2203">
        <v>20.3</v>
      </c>
    </row>
    <row r="310" spans="1:48" ht="15" thickBot="1">
      <c r="A310" s="712" t="s">
        <v>492</v>
      </c>
      <c r="B310" s="711">
        <v>41524</v>
      </c>
      <c r="C310" s="710">
        <v>29.1</v>
      </c>
      <c r="AB310" s="774"/>
      <c r="AC310" s="775"/>
      <c r="AD310" s="714"/>
      <c r="AG310" s="1238">
        <v>43771</v>
      </c>
      <c r="AH310" s="775">
        <v>1616</v>
      </c>
      <c r="AI310" s="714">
        <v>99.9</v>
      </c>
      <c r="AJ310" s="774">
        <v>42668</v>
      </c>
      <c r="AK310" s="775">
        <v>5554.67</v>
      </c>
      <c r="AL310" s="775">
        <v>8.66</v>
      </c>
      <c r="AM310" s="775">
        <v>1545</v>
      </c>
      <c r="AN310" s="714">
        <v>96.7</v>
      </c>
      <c r="AT310" s="2206">
        <v>43802</v>
      </c>
      <c r="AU310" s="2199">
        <v>45.7</v>
      </c>
      <c r="AV310" s="2203">
        <v>18.899999999999999</v>
      </c>
    </row>
    <row r="311" spans="1:48" ht="15" thickBot="1">
      <c r="A311" s="712" t="s">
        <v>492</v>
      </c>
      <c r="B311" s="711">
        <v>41525</v>
      </c>
      <c r="C311" s="710">
        <v>27.7</v>
      </c>
      <c r="AB311" s="774"/>
      <c r="AC311" s="775"/>
      <c r="AD311" s="714"/>
      <c r="AG311" s="1238">
        <v>43772</v>
      </c>
      <c r="AH311" s="775">
        <v>1577</v>
      </c>
      <c r="AI311" s="714">
        <v>99</v>
      </c>
      <c r="AJ311" s="774">
        <v>42669</v>
      </c>
      <c r="AK311" s="775">
        <v>5554.68</v>
      </c>
      <c r="AL311" s="775">
        <v>8.66</v>
      </c>
      <c r="AM311" s="775">
        <v>1546</v>
      </c>
      <c r="AN311" s="714">
        <v>96.7</v>
      </c>
      <c r="AT311" s="2206">
        <v>43803</v>
      </c>
      <c r="AU311" s="2199">
        <v>41.7</v>
      </c>
      <c r="AV311" s="2203">
        <v>15.5</v>
      </c>
    </row>
    <row r="312" spans="1:48" ht="15" thickBot="1">
      <c r="A312" s="712" t="s">
        <v>492</v>
      </c>
      <c r="B312" s="711">
        <v>41526</v>
      </c>
      <c r="C312" s="710">
        <v>27</v>
      </c>
      <c r="AB312" s="774"/>
      <c r="AC312" s="775"/>
      <c r="AD312" s="714"/>
      <c r="AG312" s="1238">
        <v>43773</v>
      </c>
      <c r="AH312" s="775">
        <v>1553</v>
      </c>
      <c r="AI312" s="714">
        <v>98.4</v>
      </c>
      <c r="AJ312" s="774">
        <v>42670</v>
      </c>
      <c r="AK312" s="775">
        <v>5554.64</v>
      </c>
      <c r="AL312" s="775">
        <v>8.66</v>
      </c>
      <c r="AM312" s="775">
        <v>1542</v>
      </c>
      <c r="AN312" s="714">
        <v>96.6</v>
      </c>
      <c r="AT312" s="2206">
        <v>43804</v>
      </c>
      <c r="AU312" s="2199">
        <v>37.6</v>
      </c>
      <c r="AV312" s="2203">
        <v>13.6</v>
      </c>
    </row>
    <row r="313" spans="1:48" ht="15" thickBot="1">
      <c r="A313" s="712" t="s">
        <v>492</v>
      </c>
      <c r="B313" s="711">
        <v>41527</v>
      </c>
      <c r="C313" s="710">
        <v>71.3</v>
      </c>
      <c r="AB313" s="774"/>
      <c r="AC313" s="775"/>
      <c r="AD313" s="714"/>
      <c r="AG313" s="1238">
        <v>43774</v>
      </c>
      <c r="AH313" s="775">
        <v>1567</v>
      </c>
      <c r="AI313" s="714">
        <v>98.7</v>
      </c>
      <c r="AJ313" s="774">
        <v>42671</v>
      </c>
      <c r="AK313" s="775">
        <v>5554.67</v>
      </c>
      <c r="AL313" s="775">
        <v>8.66</v>
      </c>
      <c r="AM313" s="775">
        <v>1545</v>
      </c>
      <c r="AN313" s="714">
        <v>96.7</v>
      </c>
      <c r="AT313" s="2206">
        <v>43805</v>
      </c>
      <c r="AU313" s="2199">
        <v>37.799999999999997</v>
      </c>
      <c r="AV313" s="2203">
        <v>13.5</v>
      </c>
    </row>
    <row r="314" spans="1:48" ht="15" thickBot="1">
      <c r="A314" s="712" t="s">
        <v>492</v>
      </c>
      <c r="B314" s="711">
        <v>41528</v>
      </c>
      <c r="C314" s="710">
        <v>257</v>
      </c>
      <c r="AB314" s="774"/>
      <c r="AC314" s="775"/>
      <c r="AD314" s="714"/>
      <c r="AG314" s="1238">
        <v>43775</v>
      </c>
      <c r="AH314" s="775">
        <v>1573</v>
      </c>
      <c r="AI314" s="714">
        <v>98.9</v>
      </c>
      <c r="AJ314" s="774">
        <v>42672</v>
      </c>
      <c r="AK314" s="775">
        <v>5554.71</v>
      </c>
      <c r="AL314" s="775">
        <v>8.66</v>
      </c>
      <c r="AM314" s="775">
        <v>1549</v>
      </c>
      <c r="AN314" s="714">
        <v>96.8</v>
      </c>
      <c r="AT314" s="2206">
        <v>43806</v>
      </c>
      <c r="AU314" s="2199">
        <v>43.8</v>
      </c>
      <c r="AV314" s="2203">
        <v>12.7</v>
      </c>
    </row>
    <row r="315" spans="1:48" ht="15" thickBot="1">
      <c r="A315" s="712" t="s">
        <v>492</v>
      </c>
      <c r="B315" s="711">
        <v>41529</v>
      </c>
      <c r="C315" s="710">
        <v>221</v>
      </c>
      <c r="AB315" s="774"/>
      <c r="AC315" s="775"/>
      <c r="AD315" s="714"/>
      <c r="AG315" s="1238">
        <v>43776</v>
      </c>
      <c r="AH315" s="775">
        <v>1577</v>
      </c>
      <c r="AI315" s="714">
        <v>99</v>
      </c>
      <c r="AJ315" s="774">
        <v>42673</v>
      </c>
      <c r="AK315" s="775">
        <v>5554.72</v>
      </c>
      <c r="AL315" s="775">
        <v>8.66</v>
      </c>
      <c r="AM315" s="775">
        <v>1550</v>
      </c>
      <c r="AN315" s="714">
        <v>96.8</v>
      </c>
      <c r="AT315" s="2206">
        <v>43807</v>
      </c>
      <c r="AU315" s="2199">
        <v>43.6</v>
      </c>
      <c r="AV315" s="2203">
        <v>12.8</v>
      </c>
    </row>
    <row r="316" spans="1:48" ht="15" thickBot="1">
      <c r="A316" s="712" t="s">
        <v>492</v>
      </c>
      <c r="B316" s="711">
        <v>41530</v>
      </c>
      <c r="C316" s="710">
        <v>0</v>
      </c>
      <c r="AB316" s="774"/>
      <c r="AC316" s="775"/>
      <c r="AD316" s="714"/>
      <c r="AG316" s="1238">
        <v>43777</v>
      </c>
      <c r="AH316" s="775">
        <v>1577</v>
      </c>
      <c r="AI316" s="714">
        <v>99</v>
      </c>
      <c r="AJ316" s="774">
        <v>42674</v>
      </c>
      <c r="AK316" s="775">
        <v>5554.42</v>
      </c>
      <c r="AL316" s="775">
        <v>8.66</v>
      </c>
      <c r="AM316" s="775">
        <v>1527</v>
      </c>
      <c r="AN316" s="714">
        <v>95.9</v>
      </c>
      <c r="AT316" s="2206">
        <v>43808</v>
      </c>
      <c r="AU316" s="2199">
        <v>30.8</v>
      </c>
      <c r="AV316" s="2203">
        <v>16.3</v>
      </c>
    </row>
    <row r="317" spans="1:48" ht="15" thickBot="1">
      <c r="A317" s="712" t="s">
        <v>492</v>
      </c>
      <c r="B317" s="711">
        <v>41531</v>
      </c>
      <c r="C317" s="710">
        <v>0</v>
      </c>
      <c r="AB317" s="774"/>
      <c r="AC317" s="775"/>
      <c r="AD317" s="714"/>
      <c r="AG317" s="1238">
        <v>43778</v>
      </c>
      <c r="AH317" s="775">
        <v>1578</v>
      </c>
      <c r="AI317" s="714">
        <v>99</v>
      </c>
      <c r="AJ317" s="774">
        <v>42675</v>
      </c>
      <c r="AK317" s="775">
        <v>5554.59</v>
      </c>
      <c r="AL317" s="775">
        <v>8.66</v>
      </c>
      <c r="AM317" s="775">
        <v>1537</v>
      </c>
      <c r="AN317" s="714">
        <v>96.5</v>
      </c>
      <c r="AT317" s="2206">
        <v>43809</v>
      </c>
      <c r="AU317" s="2199">
        <v>30.4</v>
      </c>
      <c r="AV317" s="2203">
        <v>58.3</v>
      </c>
    </row>
    <row r="318" spans="1:48" ht="15" thickBot="1">
      <c r="A318" s="712" t="s">
        <v>492</v>
      </c>
      <c r="B318" s="711">
        <v>41532</v>
      </c>
      <c r="C318" s="710">
        <v>0</v>
      </c>
      <c r="AB318" s="774"/>
      <c r="AC318" s="775"/>
      <c r="AD318" s="714"/>
      <c r="AG318" s="1238">
        <v>43779</v>
      </c>
      <c r="AH318" s="775">
        <v>1579</v>
      </c>
      <c r="AI318" s="714">
        <v>99</v>
      </c>
      <c r="AJ318" s="774">
        <v>42676</v>
      </c>
      <c r="AK318" s="775">
        <v>5554.5</v>
      </c>
      <c r="AL318" s="775">
        <v>8.66</v>
      </c>
      <c r="AM318" s="775">
        <v>1528</v>
      </c>
      <c r="AN318" s="714">
        <v>96.2</v>
      </c>
      <c r="AT318" s="2206">
        <v>43810</v>
      </c>
      <c r="AU318" s="2199">
        <v>38.700000000000003</v>
      </c>
      <c r="AV318" s="2203">
        <v>32.6</v>
      </c>
    </row>
    <row r="319" spans="1:48" ht="15" thickBot="1">
      <c r="A319" s="712" t="s">
        <v>492</v>
      </c>
      <c r="B319" s="711">
        <v>41533</v>
      </c>
      <c r="C319" s="710">
        <v>151</v>
      </c>
      <c r="AB319" s="774"/>
      <c r="AC319" s="775"/>
      <c r="AD319" s="714"/>
      <c r="AG319" s="1238">
        <v>43780</v>
      </c>
      <c r="AH319" s="775">
        <v>1578</v>
      </c>
      <c r="AI319" s="714">
        <v>99</v>
      </c>
      <c r="AJ319" s="774">
        <v>42677</v>
      </c>
      <c r="AK319" s="775">
        <v>5554.41</v>
      </c>
      <c r="AL319" s="775">
        <v>8.66</v>
      </c>
      <c r="AM319" s="775">
        <v>1519</v>
      </c>
      <c r="AN319" s="714">
        <v>96</v>
      </c>
      <c r="AT319" s="2206">
        <v>43811</v>
      </c>
      <c r="AU319" s="2199">
        <v>40.1</v>
      </c>
      <c r="AV319" s="2203">
        <v>21.1</v>
      </c>
    </row>
    <row r="320" spans="1:48" ht="15" thickBot="1">
      <c r="A320" s="712" t="s">
        <v>492</v>
      </c>
      <c r="B320" s="711">
        <v>41534</v>
      </c>
      <c r="C320" s="710">
        <v>250</v>
      </c>
      <c r="AB320" s="774"/>
      <c r="AC320" s="775"/>
      <c r="AD320" s="714"/>
      <c r="AG320" s="1238">
        <v>43781</v>
      </c>
      <c r="AH320" s="775">
        <v>1579</v>
      </c>
      <c r="AI320" s="714">
        <v>99</v>
      </c>
      <c r="AJ320" s="774">
        <v>42678</v>
      </c>
      <c r="AK320" s="775">
        <v>5554.35</v>
      </c>
      <c r="AL320" s="775">
        <v>8.66</v>
      </c>
      <c r="AM320" s="775">
        <v>1513</v>
      </c>
      <c r="AN320" s="714">
        <v>95.9</v>
      </c>
      <c r="AT320" s="2206">
        <v>43812</v>
      </c>
      <c r="AU320" s="2199">
        <v>37.299999999999997</v>
      </c>
      <c r="AV320" s="2203">
        <v>11.5</v>
      </c>
    </row>
    <row r="321" spans="1:48" ht="15" thickBot="1">
      <c r="A321" s="712" t="s">
        <v>492</v>
      </c>
      <c r="B321" s="711">
        <v>41535</v>
      </c>
      <c r="C321" s="710">
        <v>254</v>
      </c>
      <c r="AB321" s="774"/>
      <c r="AC321" s="775"/>
      <c r="AD321" s="714"/>
      <c r="AG321" s="1238">
        <v>43782</v>
      </c>
      <c r="AH321" s="775">
        <v>1574</v>
      </c>
      <c r="AI321" s="714">
        <v>98.9</v>
      </c>
      <c r="AJ321" s="774">
        <v>42679</v>
      </c>
      <c r="AK321" s="775">
        <v>5554.4</v>
      </c>
      <c r="AL321" s="775">
        <v>8.66</v>
      </c>
      <c r="AM321" s="775">
        <v>1518</v>
      </c>
      <c r="AN321" s="714">
        <v>96</v>
      </c>
      <c r="AT321" s="2206">
        <v>43813</v>
      </c>
      <c r="AU321" s="2199">
        <v>30</v>
      </c>
      <c r="AV321" s="2203">
        <v>11.7</v>
      </c>
    </row>
    <row r="322" spans="1:48" ht="15" thickBot="1">
      <c r="A322" s="712" t="s">
        <v>492</v>
      </c>
      <c r="B322" s="711">
        <v>41536</v>
      </c>
      <c r="C322" s="710">
        <v>257</v>
      </c>
      <c r="AB322" s="774"/>
      <c r="AC322" s="775"/>
      <c r="AD322" s="714"/>
      <c r="AG322" s="1238">
        <v>43783</v>
      </c>
      <c r="AH322" s="775">
        <v>1573</v>
      </c>
      <c r="AI322" s="714">
        <v>98.9</v>
      </c>
      <c r="AJ322" s="774">
        <v>42680</v>
      </c>
      <c r="AK322" s="775">
        <v>5554.47</v>
      </c>
      <c r="AL322" s="775">
        <v>8.66</v>
      </c>
      <c r="AM322" s="775">
        <v>1525</v>
      </c>
      <c r="AN322" s="714">
        <v>96.2</v>
      </c>
      <c r="AT322" s="2206">
        <v>43814</v>
      </c>
      <c r="AU322" s="2199">
        <v>25.5</v>
      </c>
      <c r="AV322" s="2203">
        <v>12.6</v>
      </c>
    </row>
    <row r="323" spans="1:48" ht="15" thickBot="1">
      <c r="A323" s="712" t="s">
        <v>492</v>
      </c>
      <c r="B323" s="711">
        <v>41537</v>
      </c>
      <c r="C323" s="710">
        <v>258</v>
      </c>
      <c r="AB323" s="774"/>
      <c r="AC323" s="775"/>
      <c r="AD323" s="714"/>
      <c r="AG323" s="1238">
        <v>43784</v>
      </c>
      <c r="AH323" s="775">
        <v>1568</v>
      </c>
      <c r="AI323" s="714">
        <v>98.8</v>
      </c>
      <c r="AJ323" s="774">
        <v>42681</v>
      </c>
      <c r="AK323" s="775">
        <v>5554.53</v>
      </c>
      <c r="AL323" s="775">
        <v>8.66</v>
      </c>
      <c r="AM323" s="775">
        <v>1531</v>
      </c>
      <c r="AN323" s="714">
        <v>96.4</v>
      </c>
      <c r="AT323" s="2206">
        <v>43815</v>
      </c>
      <c r="AU323" s="2199">
        <v>24</v>
      </c>
      <c r="AV323" s="2203">
        <v>11</v>
      </c>
    </row>
    <row r="324" spans="1:48" ht="15" thickBot="1">
      <c r="A324" s="712" t="s">
        <v>492</v>
      </c>
      <c r="B324" s="711">
        <v>41538</v>
      </c>
      <c r="C324" s="710">
        <v>279</v>
      </c>
      <c r="AB324" s="774"/>
      <c r="AC324" s="775"/>
      <c r="AD324" s="714"/>
      <c r="AG324" s="1238">
        <v>43785</v>
      </c>
      <c r="AH324" s="775">
        <v>1561</v>
      </c>
      <c r="AI324" s="714">
        <v>98.6</v>
      </c>
      <c r="AJ324" s="774">
        <v>42682</v>
      </c>
      <c r="AK324" s="775">
        <v>5554.54</v>
      </c>
      <c r="AL324" s="775">
        <v>8.66</v>
      </c>
      <c r="AM324" s="775">
        <v>1532</v>
      </c>
      <c r="AN324" s="714">
        <v>96.4</v>
      </c>
      <c r="AT324" s="2206">
        <v>43816</v>
      </c>
      <c r="AU324" s="2199">
        <v>31.8</v>
      </c>
      <c r="AV324" s="2203">
        <v>7.11</v>
      </c>
    </row>
    <row r="325" spans="1:48" ht="15" thickBot="1">
      <c r="A325" s="712" t="s">
        <v>492</v>
      </c>
      <c r="B325" s="711">
        <v>41539</v>
      </c>
      <c r="C325" s="710">
        <v>357</v>
      </c>
      <c r="AB325" s="774"/>
      <c r="AC325" s="775"/>
      <c r="AD325" s="714"/>
      <c r="AG325" s="1238">
        <v>43786</v>
      </c>
      <c r="AH325" s="775">
        <v>1557</v>
      </c>
      <c r="AI325" s="714">
        <v>98.5</v>
      </c>
      <c r="AJ325" s="774">
        <v>42683</v>
      </c>
      <c r="AK325" s="775">
        <v>5554.48</v>
      </c>
      <c r="AL325" s="775">
        <v>8.66</v>
      </c>
      <c r="AM325" s="775">
        <v>1526</v>
      </c>
      <c r="AN325" s="714">
        <v>96.2</v>
      </c>
      <c r="AT325" s="2206">
        <v>43817</v>
      </c>
      <c r="AU325" s="2199">
        <v>39.5</v>
      </c>
      <c r="AV325" s="2203">
        <v>12.1</v>
      </c>
    </row>
    <row r="326" spans="1:48" ht="15" thickBot="1">
      <c r="A326" s="712" t="s">
        <v>492</v>
      </c>
      <c r="B326" s="711">
        <v>41540</v>
      </c>
      <c r="C326" s="710">
        <v>390</v>
      </c>
      <c r="AB326" s="774"/>
      <c r="AC326" s="775"/>
      <c r="AD326" s="714"/>
      <c r="AG326" s="1238">
        <v>43787</v>
      </c>
      <c r="AH326" s="775">
        <v>1550</v>
      </c>
      <c r="AI326" s="714">
        <v>98.3</v>
      </c>
      <c r="AJ326" s="774">
        <v>42684</v>
      </c>
      <c r="AK326" s="775">
        <v>5554.41</v>
      </c>
      <c r="AL326" s="775">
        <v>8.66</v>
      </c>
      <c r="AM326" s="775">
        <v>1519</v>
      </c>
      <c r="AN326" s="714">
        <v>96</v>
      </c>
      <c r="AT326" s="2206">
        <v>43818</v>
      </c>
      <c r="AU326" s="2199">
        <v>39.1</v>
      </c>
      <c r="AV326" s="2203">
        <v>18.8</v>
      </c>
    </row>
    <row r="327" spans="1:48" ht="15" thickBot="1">
      <c r="A327" s="712" t="s">
        <v>492</v>
      </c>
      <c r="B327" s="711">
        <v>41541</v>
      </c>
      <c r="C327" s="710">
        <v>460</v>
      </c>
      <c r="AB327" s="774"/>
      <c r="AC327" s="775"/>
      <c r="AD327" s="714"/>
      <c r="AG327" s="1238">
        <v>43788</v>
      </c>
      <c r="AH327" s="775">
        <v>1547</v>
      </c>
      <c r="AI327" s="714">
        <v>98.2</v>
      </c>
      <c r="AJ327" s="774">
        <v>42685</v>
      </c>
      <c r="AK327" s="775">
        <v>5554.42</v>
      </c>
      <c r="AL327" s="775">
        <v>8.66</v>
      </c>
      <c r="AM327" s="775">
        <v>1520</v>
      </c>
      <c r="AN327" s="714">
        <v>96</v>
      </c>
      <c r="AT327" s="2206">
        <v>43819</v>
      </c>
      <c r="AU327" s="2199">
        <v>40.1</v>
      </c>
      <c r="AV327" s="2203">
        <v>21.7</v>
      </c>
    </row>
    <row r="328" spans="1:48" ht="15" thickBot="1">
      <c r="A328" s="712" t="s">
        <v>492</v>
      </c>
      <c r="B328" s="711">
        <v>41542</v>
      </c>
      <c r="C328" s="710">
        <v>490</v>
      </c>
      <c r="AB328" s="774"/>
      <c r="AC328" s="775"/>
      <c r="AD328" s="714"/>
      <c r="AG328" s="1238">
        <v>43789</v>
      </c>
      <c r="AH328" s="775">
        <v>1544</v>
      </c>
      <c r="AI328" s="714">
        <v>98.2</v>
      </c>
      <c r="AJ328" s="774">
        <v>42686</v>
      </c>
      <c r="AK328" s="775">
        <v>5554.43</v>
      </c>
      <c r="AL328" s="775">
        <v>8.66</v>
      </c>
      <c r="AM328" s="775">
        <v>1521</v>
      </c>
      <c r="AN328" s="714">
        <v>96.1</v>
      </c>
      <c r="AT328" s="2206">
        <v>43820</v>
      </c>
      <c r="AU328" s="2199">
        <v>45.3</v>
      </c>
      <c r="AV328" s="2203">
        <v>20.5</v>
      </c>
    </row>
    <row r="329" spans="1:48" ht="15" thickBot="1">
      <c r="A329" s="712" t="s">
        <v>492</v>
      </c>
      <c r="B329" s="711">
        <v>41543</v>
      </c>
      <c r="C329" s="710">
        <v>486</v>
      </c>
      <c r="AB329" s="774"/>
      <c r="AC329" s="775"/>
      <c r="AD329" s="714"/>
      <c r="AG329" s="1238">
        <v>43790</v>
      </c>
      <c r="AH329" s="775">
        <v>1545</v>
      </c>
      <c r="AI329" s="714">
        <v>98.2</v>
      </c>
      <c r="AJ329" s="774">
        <v>42687</v>
      </c>
      <c r="AK329" s="775">
        <v>5554.44</v>
      </c>
      <c r="AL329" s="775">
        <v>8.66</v>
      </c>
      <c r="AM329" s="775">
        <v>1522</v>
      </c>
      <c r="AN329" s="714">
        <v>96.1</v>
      </c>
      <c r="AT329" s="2206">
        <v>43821</v>
      </c>
      <c r="AU329" s="2199">
        <v>49.8</v>
      </c>
      <c r="AV329" s="2203">
        <v>14</v>
      </c>
    </row>
    <row r="330" spans="1:48" ht="15" thickBot="1">
      <c r="A330" s="712" t="s">
        <v>492</v>
      </c>
      <c r="B330" s="711">
        <v>41544</v>
      </c>
      <c r="C330" s="710">
        <v>496</v>
      </c>
      <c r="AB330" s="774"/>
      <c r="AC330" s="775"/>
      <c r="AD330" s="714"/>
      <c r="AG330" s="1238">
        <v>43791</v>
      </c>
      <c r="AH330" s="775">
        <v>1548</v>
      </c>
      <c r="AI330" s="714">
        <v>98.2</v>
      </c>
      <c r="AJ330" s="774">
        <v>42688</v>
      </c>
      <c r="AK330" s="775">
        <v>5554.43</v>
      </c>
      <c r="AL330" s="775">
        <v>8.66</v>
      </c>
      <c r="AM330" s="775">
        <v>1521</v>
      </c>
      <c r="AN330" s="714">
        <v>96.1</v>
      </c>
      <c r="AT330" s="2206">
        <v>43822</v>
      </c>
      <c r="AU330" s="2199">
        <v>47.8</v>
      </c>
      <c r="AV330" s="2203">
        <v>13.1</v>
      </c>
    </row>
    <row r="331" spans="1:48" ht="15" thickBot="1">
      <c r="A331" s="712" t="s">
        <v>492</v>
      </c>
      <c r="B331" s="711">
        <v>41545</v>
      </c>
      <c r="C331" s="710">
        <v>492</v>
      </c>
      <c r="AB331" s="774"/>
      <c r="AC331" s="775"/>
      <c r="AD331" s="714"/>
      <c r="AG331" s="1238">
        <v>43792</v>
      </c>
      <c r="AH331" s="775">
        <v>1549</v>
      </c>
      <c r="AI331" s="714">
        <v>98.3</v>
      </c>
      <c r="AJ331" s="774">
        <v>42689</v>
      </c>
      <c r="AK331" s="775">
        <v>5554.43</v>
      </c>
      <c r="AL331" s="775">
        <v>8.66</v>
      </c>
      <c r="AM331" s="775">
        <v>1521</v>
      </c>
      <c r="AN331" s="714">
        <v>96.1</v>
      </c>
      <c r="AT331" s="2206">
        <v>43823</v>
      </c>
      <c r="AU331" s="2199">
        <v>41.7</v>
      </c>
      <c r="AV331" s="2203">
        <v>13.3</v>
      </c>
    </row>
    <row r="332" spans="1:48" ht="15" thickBot="1">
      <c r="A332" s="712" t="s">
        <v>492</v>
      </c>
      <c r="B332" s="711">
        <v>41546</v>
      </c>
      <c r="C332" s="710">
        <v>487</v>
      </c>
      <c r="AB332" s="774"/>
      <c r="AC332" s="775"/>
      <c r="AD332" s="714"/>
      <c r="AG332" s="1238">
        <v>43793</v>
      </c>
      <c r="AH332" s="775">
        <v>1546</v>
      </c>
      <c r="AI332" s="714">
        <v>98.2</v>
      </c>
      <c r="AJ332" s="774">
        <v>42690</v>
      </c>
      <c r="AK332" s="775">
        <v>5554.4</v>
      </c>
      <c r="AL332" s="775">
        <v>8.66</v>
      </c>
      <c r="AM332" s="775">
        <v>1518</v>
      </c>
      <c r="AN332" s="714">
        <v>96</v>
      </c>
      <c r="AT332" s="2206">
        <v>43824</v>
      </c>
      <c r="AU332" s="2199">
        <v>38</v>
      </c>
      <c r="AV332" s="2203">
        <v>12.2</v>
      </c>
    </row>
    <row r="333" spans="1:48" ht="15" thickBot="1">
      <c r="A333" s="712" t="s">
        <v>492</v>
      </c>
      <c r="B333" s="711">
        <v>41547</v>
      </c>
      <c r="C333" s="710">
        <v>488</v>
      </c>
      <c r="AB333" s="774"/>
      <c r="AC333" s="775"/>
      <c r="AD333" s="714"/>
      <c r="AG333" s="1238">
        <v>43794</v>
      </c>
      <c r="AH333" s="775">
        <v>1549</v>
      </c>
      <c r="AI333" s="714">
        <v>98.3</v>
      </c>
      <c r="AJ333" s="774">
        <v>42691</v>
      </c>
      <c r="AK333" s="775">
        <v>5554.4</v>
      </c>
      <c r="AL333" s="775">
        <v>8.66</v>
      </c>
      <c r="AM333" s="775">
        <v>1518</v>
      </c>
      <c r="AN333" s="714">
        <v>96</v>
      </c>
      <c r="AT333" s="2206">
        <v>43825</v>
      </c>
      <c r="AU333" s="2199">
        <v>29.7</v>
      </c>
      <c r="AV333" s="2203">
        <v>11.9</v>
      </c>
    </row>
    <row r="334" spans="1:48" ht="15" thickBot="1">
      <c r="A334" s="712" t="s">
        <v>492</v>
      </c>
      <c r="B334" s="711">
        <v>41548</v>
      </c>
      <c r="C334" s="710">
        <v>487</v>
      </c>
      <c r="D334" s="710">
        <f>AVERAGE(C334:C364)</f>
        <v>219.40322580645159</v>
      </c>
      <c r="AB334" s="774"/>
      <c r="AC334" s="775"/>
      <c r="AD334" s="714"/>
      <c r="AG334" s="1238">
        <v>43795</v>
      </c>
      <c r="AH334" s="775">
        <v>1575</v>
      </c>
      <c r="AI334" s="714">
        <v>98.9</v>
      </c>
      <c r="AJ334" s="774">
        <v>42692</v>
      </c>
      <c r="AK334" s="775">
        <v>5554.47</v>
      </c>
      <c r="AL334" s="775">
        <v>8.66</v>
      </c>
      <c r="AM334" s="775">
        <v>1525</v>
      </c>
      <c r="AN334" s="714">
        <v>96.2</v>
      </c>
      <c r="AT334" s="2206">
        <v>43826</v>
      </c>
      <c r="AU334" s="2199">
        <v>27.9</v>
      </c>
      <c r="AV334" s="2203">
        <v>12.7</v>
      </c>
    </row>
    <row r="335" spans="1:48" ht="15" thickBot="1">
      <c r="A335" s="712" t="s">
        <v>492</v>
      </c>
      <c r="B335" s="711">
        <v>41549</v>
      </c>
      <c r="C335" s="710">
        <v>478</v>
      </c>
      <c r="AB335" s="774"/>
      <c r="AC335" s="775"/>
      <c r="AD335" s="714"/>
      <c r="AG335" s="1238">
        <v>43796</v>
      </c>
      <c r="AH335" s="775">
        <v>1588</v>
      </c>
      <c r="AI335" s="714">
        <v>99.2</v>
      </c>
      <c r="AJ335" s="774">
        <v>42693</v>
      </c>
      <c r="AK335" s="775">
        <v>5554.48</v>
      </c>
      <c r="AL335" s="775">
        <v>8.66</v>
      </c>
      <c r="AM335" s="775">
        <v>1526</v>
      </c>
      <c r="AN335" s="714">
        <v>96.2</v>
      </c>
      <c r="AT335" s="2206">
        <v>43827</v>
      </c>
      <c r="AU335" s="2199">
        <v>24.2</v>
      </c>
      <c r="AV335" s="2203">
        <v>14</v>
      </c>
    </row>
    <row r="336" spans="1:48" ht="15" thickBot="1">
      <c r="A336" s="712" t="s">
        <v>492</v>
      </c>
      <c r="B336" s="711">
        <v>41550</v>
      </c>
      <c r="C336" s="710">
        <v>470</v>
      </c>
      <c r="AB336" s="774"/>
      <c r="AC336" s="775"/>
      <c r="AD336" s="714"/>
      <c r="AG336" s="1238">
        <v>43797</v>
      </c>
      <c r="AH336" s="775">
        <v>1597</v>
      </c>
      <c r="AI336" s="714">
        <v>99.5</v>
      </c>
      <c r="AJ336" s="774">
        <v>42694</v>
      </c>
      <c r="AK336" s="775">
        <v>5554.49</v>
      </c>
      <c r="AL336" s="775">
        <v>8.66</v>
      </c>
      <c r="AM336" s="775">
        <v>1527</v>
      </c>
      <c r="AN336" s="714">
        <v>96.2</v>
      </c>
      <c r="AT336" s="2206">
        <v>43828</v>
      </c>
      <c r="AU336" s="2199">
        <v>21.1</v>
      </c>
      <c r="AV336" s="2203">
        <v>11</v>
      </c>
    </row>
    <row r="337" spans="1:48" ht="15" thickBot="1">
      <c r="A337" s="712" t="s">
        <v>492</v>
      </c>
      <c r="B337" s="711">
        <v>41551</v>
      </c>
      <c r="C337" s="710">
        <v>400</v>
      </c>
      <c r="AB337" s="774"/>
      <c r="AC337" s="775"/>
      <c r="AD337" s="714"/>
      <c r="AG337" s="1238">
        <v>43798</v>
      </c>
      <c r="AH337" s="775">
        <v>1623</v>
      </c>
      <c r="AI337" s="714">
        <v>100</v>
      </c>
      <c r="AJ337" s="774">
        <v>42695</v>
      </c>
      <c r="AK337" s="775">
        <v>5554.63</v>
      </c>
      <c r="AL337" s="775">
        <v>8.66</v>
      </c>
      <c r="AM337" s="775">
        <v>1541</v>
      </c>
      <c r="AN337" s="714">
        <v>96.6</v>
      </c>
      <c r="AT337" s="2206">
        <v>43829</v>
      </c>
      <c r="AU337" s="2199">
        <v>22.1</v>
      </c>
      <c r="AV337" s="2203">
        <v>15.3</v>
      </c>
    </row>
    <row r="338" spans="1:48" ht="15" thickBot="1">
      <c r="A338" s="712" t="s">
        <v>492</v>
      </c>
      <c r="B338" s="711">
        <v>41552</v>
      </c>
      <c r="C338" s="710">
        <v>350</v>
      </c>
      <c r="AB338" s="774"/>
      <c r="AC338" s="775"/>
      <c r="AD338" s="714"/>
      <c r="AG338" s="1238">
        <v>43799</v>
      </c>
      <c r="AH338" s="775">
        <v>1657</v>
      </c>
      <c r="AI338" s="714">
        <v>101</v>
      </c>
      <c r="AJ338" s="774">
        <v>42696</v>
      </c>
      <c r="AK338" s="775">
        <v>5554.77</v>
      </c>
      <c r="AL338" s="775">
        <v>8.66</v>
      </c>
      <c r="AM338" s="775">
        <v>1555</v>
      </c>
      <c r="AN338" s="714">
        <v>96.9</v>
      </c>
      <c r="AT338" s="2206">
        <v>43830</v>
      </c>
      <c r="AU338" s="2199">
        <v>28.5</v>
      </c>
      <c r="AV338" s="2203">
        <v>15.7</v>
      </c>
    </row>
    <row r="339" spans="1:48" ht="15" thickBot="1">
      <c r="A339" s="712" t="s">
        <v>492</v>
      </c>
      <c r="B339" s="711">
        <v>41553</v>
      </c>
      <c r="C339" s="710">
        <v>347</v>
      </c>
      <c r="AB339" s="774"/>
      <c r="AC339" s="775"/>
      <c r="AD339" s="714"/>
      <c r="AG339" s="1238">
        <v>43800</v>
      </c>
      <c r="AH339" s="775">
        <v>1679</v>
      </c>
      <c r="AI339" s="714">
        <v>102</v>
      </c>
      <c r="AJ339" s="774">
        <v>42697</v>
      </c>
      <c r="AK339" s="775">
        <v>5554.85</v>
      </c>
      <c r="AL339" s="775">
        <v>8.66</v>
      </c>
      <c r="AM339" s="775">
        <v>1562</v>
      </c>
      <c r="AN339" s="714">
        <v>97.1</v>
      </c>
      <c r="AT339" s="2206">
        <v>43831</v>
      </c>
      <c r="AU339" s="2199">
        <v>41.2</v>
      </c>
      <c r="AV339" s="2203">
        <v>21.7</v>
      </c>
    </row>
    <row r="340" spans="1:48" ht="15" thickBot="1">
      <c r="A340" s="712" t="s">
        <v>492</v>
      </c>
      <c r="B340" s="711">
        <v>41554</v>
      </c>
      <c r="C340" s="710">
        <v>342</v>
      </c>
      <c r="AB340" s="774"/>
      <c r="AC340" s="775"/>
      <c r="AD340" s="714"/>
      <c r="AG340" s="1238">
        <v>43801</v>
      </c>
      <c r="AH340" s="775">
        <v>1700</v>
      </c>
      <c r="AI340" s="714">
        <v>102</v>
      </c>
      <c r="AJ340" s="774">
        <v>42698</v>
      </c>
      <c r="AK340" s="775">
        <v>5554.82</v>
      </c>
      <c r="AL340" s="775">
        <v>8.66</v>
      </c>
      <c r="AM340" s="775">
        <v>1559</v>
      </c>
      <c r="AN340" s="714">
        <v>97</v>
      </c>
      <c r="AT340" s="2206">
        <v>43832</v>
      </c>
      <c r="AU340" s="2199">
        <v>35.799999999999997</v>
      </c>
      <c r="AV340" s="2203">
        <v>16.899999999999999</v>
      </c>
    </row>
    <row r="341" spans="1:48" ht="15" thickBot="1">
      <c r="A341" s="712" t="s">
        <v>492</v>
      </c>
      <c r="B341" s="711">
        <v>41555</v>
      </c>
      <c r="C341" s="710">
        <v>344</v>
      </c>
      <c r="AB341" s="774"/>
      <c r="AC341" s="775"/>
      <c r="AD341" s="714"/>
      <c r="AG341" s="1238">
        <v>43802</v>
      </c>
      <c r="AH341" s="775">
        <v>1725</v>
      </c>
      <c r="AI341" s="714">
        <v>103</v>
      </c>
      <c r="AJ341" s="774">
        <v>42699</v>
      </c>
      <c r="AK341" s="775">
        <v>5554.8</v>
      </c>
      <c r="AL341" s="775">
        <v>8.66</v>
      </c>
      <c r="AM341" s="775">
        <v>1557</v>
      </c>
      <c r="AN341" s="714">
        <v>97</v>
      </c>
      <c r="AT341" s="2206">
        <v>43833</v>
      </c>
      <c r="AU341" s="2199">
        <v>39</v>
      </c>
      <c r="AV341" s="2203">
        <v>15.5</v>
      </c>
    </row>
    <row r="342" spans="1:48" ht="15" thickBot="1">
      <c r="A342" s="712" t="s">
        <v>492</v>
      </c>
      <c r="B342" s="711">
        <v>41556</v>
      </c>
      <c r="C342" s="710">
        <v>343</v>
      </c>
      <c r="AB342" s="774"/>
      <c r="AC342" s="775"/>
      <c r="AD342" s="714"/>
      <c r="AG342" s="1238">
        <v>43803</v>
      </c>
      <c r="AH342" s="775">
        <v>1752</v>
      </c>
      <c r="AI342" s="714">
        <v>104</v>
      </c>
      <c r="AJ342" s="774">
        <v>42700</v>
      </c>
      <c r="AK342" s="775">
        <v>5554.76</v>
      </c>
      <c r="AL342" s="775">
        <v>8.66</v>
      </c>
      <c r="AM342" s="775">
        <v>1554</v>
      </c>
      <c r="AN342" s="714">
        <v>96.9</v>
      </c>
      <c r="AT342" s="2206">
        <v>43834</v>
      </c>
      <c r="AU342" s="2199">
        <v>47</v>
      </c>
      <c r="AV342" s="2203">
        <v>15.4</v>
      </c>
    </row>
    <row r="343" spans="1:48" ht="15" thickBot="1">
      <c r="A343" s="712" t="s">
        <v>492</v>
      </c>
      <c r="B343" s="711">
        <v>41557</v>
      </c>
      <c r="C343" s="710">
        <v>347</v>
      </c>
      <c r="AB343" s="774"/>
      <c r="AC343" s="775"/>
      <c r="AD343" s="714"/>
      <c r="AG343" s="1238">
        <v>43804</v>
      </c>
      <c r="AH343" s="775">
        <v>1774</v>
      </c>
      <c r="AI343" s="714">
        <v>105</v>
      </c>
      <c r="AJ343" s="774">
        <v>42701</v>
      </c>
      <c r="AK343" s="775">
        <v>5554.73</v>
      </c>
      <c r="AL343" s="775">
        <v>8.66</v>
      </c>
      <c r="AM343" s="775">
        <v>1551</v>
      </c>
      <c r="AN343" s="714">
        <v>96.8</v>
      </c>
      <c r="AT343" s="2206">
        <v>43835</v>
      </c>
      <c r="AU343" s="2199">
        <v>35.1</v>
      </c>
      <c r="AV343" s="2203">
        <v>14</v>
      </c>
    </row>
    <row r="344" spans="1:48" ht="15" thickBot="1">
      <c r="A344" s="712" t="s">
        <v>492</v>
      </c>
      <c r="B344" s="711">
        <v>41558</v>
      </c>
      <c r="C344" s="710">
        <v>275</v>
      </c>
      <c r="AB344" s="774"/>
      <c r="AC344" s="775"/>
      <c r="AD344" s="714"/>
      <c r="AG344" s="1238">
        <v>43805</v>
      </c>
      <c r="AH344" s="775">
        <v>1797</v>
      </c>
      <c r="AI344" s="714">
        <v>105</v>
      </c>
      <c r="AJ344" s="774">
        <v>42702</v>
      </c>
      <c r="AK344" s="775">
        <v>5554.71</v>
      </c>
      <c r="AL344" s="775">
        <v>8.66</v>
      </c>
      <c r="AM344" s="775">
        <v>1549</v>
      </c>
      <c r="AN344" s="714">
        <v>96.8</v>
      </c>
      <c r="AT344" s="2206">
        <v>43836</v>
      </c>
      <c r="AU344" s="2199">
        <v>33.5</v>
      </c>
      <c r="AV344" s="2203">
        <v>13.6</v>
      </c>
    </row>
    <row r="345" spans="1:48" ht="15" thickBot="1">
      <c r="A345" s="712" t="s">
        <v>492</v>
      </c>
      <c r="B345" s="711">
        <v>41559</v>
      </c>
      <c r="C345" s="710">
        <v>230</v>
      </c>
      <c r="AB345" s="774"/>
      <c r="AC345" s="775"/>
      <c r="AD345" s="714"/>
      <c r="AG345" s="1238">
        <v>43806</v>
      </c>
      <c r="AH345" s="775">
        <v>1817</v>
      </c>
      <c r="AI345" s="714">
        <v>106</v>
      </c>
      <c r="AJ345" s="774">
        <v>42703</v>
      </c>
      <c r="AK345" s="775">
        <v>5554.75</v>
      </c>
      <c r="AL345" s="775">
        <v>8.66</v>
      </c>
      <c r="AM345" s="775">
        <v>1552</v>
      </c>
      <c r="AN345" s="714">
        <v>96.9</v>
      </c>
      <c r="AT345" s="2206">
        <v>43837</v>
      </c>
      <c r="AU345" s="2199">
        <v>42</v>
      </c>
      <c r="AV345" s="2203">
        <v>12.2</v>
      </c>
    </row>
    <row r="346" spans="1:48" ht="15" thickBot="1">
      <c r="A346" s="712" t="s">
        <v>492</v>
      </c>
      <c r="B346" s="711">
        <v>41560</v>
      </c>
      <c r="C346" s="710">
        <v>228</v>
      </c>
      <c r="AB346" s="774"/>
      <c r="AC346" s="775"/>
      <c r="AD346" s="714"/>
      <c r="AG346" s="1238">
        <v>43807</v>
      </c>
      <c r="AH346" s="775">
        <v>1836</v>
      </c>
      <c r="AI346" s="714">
        <v>106</v>
      </c>
      <c r="AJ346" s="774">
        <v>42704</v>
      </c>
      <c r="AK346" s="775">
        <v>5554.79</v>
      </c>
      <c r="AL346" s="775">
        <v>8.66</v>
      </c>
      <c r="AM346" s="775">
        <v>1556</v>
      </c>
      <c r="AN346" s="714">
        <v>97</v>
      </c>
      <c r="AT346" s="2206">
        <v>43838</v>
      </c>
      <c r="AU346" s="2199">
        <v>41.4</v>
      </c>
      <c r="AV346" s="2203">
        <v>10.5</v>
      </c>
    </row>
    <row r="347" spans="1:48" ht="15" thickBot="1">
      <c r="A347" s="712" t="s">
        <v>492</v>
      </c>
      <c r="B347" s="711">
        <v>41561</v>
      </c>
      <c r="C347" s="710">
        <v>224</v>
      </c>
      <c r="AB347" s="774"/>
      <c r="AC347" s="775"/>
      <c r="AD347" s="714"/>
      <c r="AG347" s="1238">
        <v>43808</v>
      </c>
      <c r="AH347" s="775">
        <v>1852</v>
      </c>
      <c r="AI347" s="714">
        <v>107</v>
      </c>
      <c r="AJ347" s="774">
        <v>42705</v>
      </c>
      <c r="AK347" s="775">
        <v>5554.92</v>
      </c>
      <c r="AL347" s="775">
        <v>8.66</v>
      </c>
      <c r="AM347" s="775">
        <v>1569</v>
      </c>
      <c r="AN347" s="714">
        <v>97.3</v>
      </c>
      <c r="AT347" s="2206">
        <v>43839</v>
      </c>
      <c r="AU347" s="2199">
        <v>32.700000000000003</v>
      </c>
      <c r="AV347" s="2203">
        <v>12.4</v>
      </c>
    </row>
    <row r="348" spans="1:48" ht="15" thickBot="1">
      <c r="A348" s="712" t="s">
        <v>492</v>
      </c>
      <c r="B348" s="711">
        <v>41562</v>
      </c>
      <c r="C348" s="710">
        <v>220</v>
      </c>
      <c r="AB348" s="774"/>
      <c r="AC348" s="775"/>
      <c r="AD348" s="714"/>
      <c r="AG348" s="1238">
        <v>43809</v>
      </c>
      <c r="AH348" s="775">
        <v>1845</v>
      </c>
      <c r="AI348" s="714">
        <v>107</v>
      </c>
      <c r="AJ348" s="774">
        <v>42706</v>
      </c>
      <c r="AK348" s="775">
        <v>5555.1</v>
      </c>
      <c r="AL348" s="775">
        <v>8.66</v>
      </c>
      <c r="AM348" s="775">
        <v>1587</v>
      </c>
      <c r="AN348" s="714">
        <v>97.7</v>
      </c>
      <c r="AT348" s="2206">
        <v>43840</v>
      </c>
      <c r="AU348" s="2199">
        <v>24.1</v>
      </c>
      <c r="AV348" s="2203">
        <v>11.6</v>
      </c>
    </row>
    <row r="349" spans="1:48" ht="15" thickBot="1">
      <c r="A349" s="712" t="s">
        <v>492</v>
      </c>
      <c r="B349" s="711">
        <v>41563</v>
      </c>
      <c r="C349" s="710">
        <v>225</v>
      </c>
      <c r="AB349" s="774"/>
      <c r="AC349" s="775"/>
      <c r="AD349" s="714"/>
      <c r="AG349" s="1238">
        <v>43810</v>
      </c>
      <c r="AH349" s="775">
        <v>1833</v>
      </c>
      <c r="AI349" s="714">
        <v>106</v>
      </c>
      <c r="AJ349" s="774">
        <v>42707</v>
      </c>
      <c r="AK349" s="775">
        <v>5555.29</v>
      </c>
      <c r="AL349" s="775">
        <v>8.66</v>
      </c>
      <c r="AM349" s="775">
        <v>1606</v>
      </c>
      <c r="AN349" s="714">
        <v>98.2</v>
      </c>
      <c r="AT349" s="2206">
        <v>43841</v>
      </c>
      <c r="AU349" s="2199">
        <v>25.7</v>
      </c>
      <c r="AV349" s="2203">
        <v>18</v>
      </c>
    </row>
    <row r="350" spans="1:48" ht="15" thickBot="1">
      <c r="A350" s="712" t="s">
        <v>492</v>
      </c>
      <c r="B350" s="711">
        <v>41564</v>
      </c>
      <c r="C350" s="710">
        <v>228</v>
      </c>
      <c r="AB350" s="774"/>
      <c r="AC350" s="775"/>
      <c r="AD350" s="714"/>
      <c r="AG350" s="1238">
        <v>43811</v>
      </c>
      <c r="AH350" s="775">
        <v>1825</v>
      </c>
      <c r="AI350" s="714">
        <v>106</v>
      </c>
      <c r="AJ350" s="774">
        <v>42708</v>
      </c>
      <c r="AK350" s="775">
        <v>5555.51</v>
      </c>
      <c r="AL350" s="775">
        <v>8.66</v>
      </c>
      <c r="AM350" s="775">
        <v>1627</v>
      </c>
      <c r="AN350" s="714">
        <v>98.8</v>
      </c>
      <c r="AT350" s="2206">
        <v>43842</v>
      </c>
      <c r="AU350" s="2199">
        <v>30.7</v>
      </c>
      <c r="AV350" s="2203">
        <v>18</v>
      </c>
    </row>
    <row r="351" spans="1:48" ht="15" thickBot="1">
      <c r="A351" s="712" t="s">
        <v>492</v>
      </c>
      <c r="B351" s="711">
        <v>41565</v>
      </c>
      <c r="C351" s="710">
        <v>209</v>
      </c>
      <c r="AB351" s="774"/>
      <c r="AC351" s="775"/>
      <c r="AD351" s="714"/>
      <c r="AG351" s="1238">
        <v>43812</v>
      </c>
      <c r="AH351" s="775">
        <v>1819</v>
      </c>
      <c r="AI351" s="714">
        <v>106</v>
      </c>
      <c r="AJ351" s="774">
        <v>42709</v>
      </c>
      <c r="AK351" s="775">
        <v>5555.79</v>
      </c>
      <c r="AL351" s="775">
        <v>8.66</v>
      </c>
      <c r="AM351" s="775">
        <v>1655</v>
      </c>
      <c r="AN351" s="714">
        <v>99.5</v>
      </c>
      <c r="AT351" s="2206">
        <v>43843</v>
      </c>
      <c r="AU351" s="2199">
        <v>29.5</v>
      </c>
      <c r="AV351" s="2203">
        <v>17.8</v>
      </c>
    </row>
    <row r="352" spans="1:48" ht="15" thickBot="1">
      <c r="A352" s="712" t="s">
        <v>492</v>
      </c>
      <c r="B352" s="711">
        <v>41566</v>
      </c>
      <c r="C352" s="710">
        <v>103</v>
      </c>
      <c r="AB352" s="774"/>
      <c r="AC352" s="775"/>
      <c r="AD352" s="714"/>
      <c r="AG352" s="1238">
        <v>43813</v>
      </c>
      <c r="AH352" s="775">
        <v>1809</v>
      </c>
      <c r="AI352" s="714">
        <v>106</v>
      </c>
      <c r="AJ352" s="774">
        <v>42710</v>
      </c>
      <c r="AK352" s="775">
        <v>5556.05</v>
      </c>
      <c r="AL352" s="775">
        <v>8.66</v>
      </c>
      <c r="AM352" s="775">
        <v>1680</v>
      </c>
      <c r="AN352" s="714">
        <v>100</v>
      </c>
      <c r="AT352" s="2206">
        <v>43844</v>
      </c>
      <c r="AU352" s="2199">
        <v>38.4</v>
      </c>
      <c r="AV352" s="2203">
        <v>33.700000000000003</v>
      </c>
    </row>
    <row r="353" spans="1:48" ht="15" thickBot="1">
      <c r="A353" s="712" t="s">
        <v>492</v>
      </c>
      <c r="B353" s="711">
        <v>41567</v>
      </c>
      <c r="C353" s="710">
        <v>88.3</v>
      </c>
      <c r="AB353" s="774"/>
      <c r="AC353" s="775"/>
      <c r="AD353" s="714"/>
      <c r="AG353" s="1238">
        <v>43814</v>
      </c>
      <c r="AH353" s="775">
        <v>1799</v>
      </c>
      <c r="AI353" s="714">
        <v>105</v>
      </c>
      <c r="AJ353" s="774">
        <v>42711</v>
      </c>
      <c r="AK353" s="775">
        <v>5556.23</v>
      </c>
      <c r="AL353" s="775">
        <v>8.66</v>
      </c>
      <c r="AM353" s="775">
        <v>1699</v>
      </c>
      <c r="AN353" s="714">
        <v>101</v>
      </c>
      <c r="AT353" s="2206">
        <v>43845</v>
      </c>
      <c r="AU353" s="2199">
        <v>30.2</v>
      </c>
      <c r="AV353" s="2203">
        <v>18.399999999999999</v>
      </c>
    </row>
    <row r="354" spans="1:48" ht="15" thickBot="1">
      <c r="A354" s="712" t="s">
        <v>492</v>
      </c>
      <c r="B354" s="711">
        <v>41568</v>
      </c>
      <c r="C354" s="710">
        <v>87.9</v>
      </c>
      <c r="AB354" s="774"/>
      <c r="AC354" s="775"/>
      <c r="AD354" s="714"/>
      <c r="AG354" s="1238">
        <v>43815</v>
      </c>
      <c r="AH354" s="775">
        <v>1789</v>
      </c>
      <c r="AI354" s="714">
        <v>105</v>
      </c>
      <c r="AJ354" s="774">
        <v>42712</v>
      </c>
      <c r="AK354" s="775">
        <v>5556.2</v>
      </c>
      <c r="AL354" s="775">
        <v>8.66</v>
      </c>
      <c r="AM354" s="775">
        <v>1696</v>
      </c>
      <c r="AN354" s="714">
        <v>101</v>
      </c>
      <c r="AT354" s="2206">
        <v>43846</v>
      </c>
      <c r="AU354" s="2199">
        <v>28.5</v>
      </c>
      <c r="AV354" s="2203">
        <v>20.8</v>
      </c>
    </row>
    <row r="355" spans="1:48" ht="15" thickBot="1">
      <c r="A355" s="712" t="s">
        <v>492</v>
      </c>
      <c r="B355" s="711">
        <v>41569</v>
      </c>
      <c r="C355" s="710">
        <v>85.2</v>
      </c>
      <c r="AB355" s="774"/>
      <c r="AC355" s="775"/>
      <c r="AD355" s="714"/>
      <c r="AG355" s="1238">
        <v>43816</v>
      </c>
      <c r="AH355" s="775">
        <v>1770</v>
      </c>
      <c r="AI355" s="714">
        <v>104</v>
      </c>
      <c r="AJ355" s="774">
        <v>42713</v>
      </c>
      <c r="AK355" s="775">
        <v>5556.12</v>
      </c>
      <c r="AL355" s="775">
        <v>8.66</v>
      </c>
      <c r="AM355" s="775">
        <v>1687</v>
      </c>
      <c r="AN355" s="714">
        <v>100</v>
      </c>
      <c r="AT355" s="2206">
        <v>43847</v>
      </c>
      <c r="AU355" s="2199">
        <v>34.9</v>
      </c>
      <c r="AV355" s="2203">
        <v>15.8</v>
      </c>
    </row>
    <row r="356" spans="1:48" ht="15" thickBot="1">
      <c r="A356" s="712" t="s">
        <v>492</v>
      </c>
      <c r="B356" s="711">
        <v>41570</v>
      </c>
      <c r="C356" s="710">
        <v>82.4</v>
      </c>
      <c r="AB356" s="774"/>
      <c r="AC356" s="775"/>
      <c r="AD356" s="714"/>
      <c r="AG356" s="1238">
        <v>43817</v>
      </c>
      <c r="AH356" s="775">
        <v>1752</v>
      </c>
      <c r="AI356" s="714">
        <v>104</v>
      </c>
      <c r="AJ356" s="774">
        <v>42714</v>
      </c>
      <c r="AK356" s="775">
        <v>5556.19</v>
      </c>
      <c r="AL356" s="775">
        <v>8.66</v>
      </c>
      <c r="AM356" s="775">
        <v>1695</v>
      </c>
      <c r="AN356" s="714">
        <v>101</v>
      </c>
      <c r="AT356" s="2206">
        <v>43848</v>
      </c>
      <c r="AU356" s="2199">
        <v>29.7</v>
      </c>
      <c r="AV356" s="2203">
        <v>29.3</v>
      </c>
    </row>
    <row r="357" spans="1:48" ht="15" thickBot="1">
      <c r="A357" s="712" t="s">
        <v>492</v>
      </c>
      <c r="B357" s="711">
        <v>41571</v>
      </c>
      <c r="C357" s="710">
        <v>80.5</v>
      </c>
      <c r="AB357" s="774"/>
      <c r="AC357" s="775"/>
      <c r="AD357" s="714"/>
      <c r="AG357" s="1238">
        <v>43818</v>
      </c>
      <c r="AH357" s="775">
        <v>1759</v>
      </c>
      <c r="AI357" s="714">
        <v>104</v>
      </c>
      <c r="AJ357" s="774">
        <v>42715</v>
      </c>
      <c r="AK357" s="775">
        <v>5556.34</v>
      </c>
      <c r="AL357" s="775">
        <v>8.66</v>
      </c>
      <c r="AM357" s="775">
        <v>1710</v>
      </c>
      <c r="AN357" s="714">
        <v>101</v>
      </c>
      <c r="AT357" s="2206">
        <v>43849</v>
      </c>
      <c r="AU357" s="2199">
        <v>31.9</v>
      </c>
      <c r="AV357" s="2203">
        <v>37.299999999999997</v>
      </c>
    </row>
    <row r="358" spans="1:48" ht="15" thickBot="1">
      <c r="A358" s="712" t="s">
        <v>492</v>
      </c>
      <c r="B358" s="711">
        <v>41572</v>
      </c>
      <c r="C358" s="710">
        <v>76.7</v>
      </c>
      <c r="AB358" s="774"/>
      <c r="AC358" s="775"/>
      <c r="AD358" s="714"/>
      <c r="AG358" s="1238">
        <v>43819</v>
      </c>
      <c r="AH358" s="775">
        <v>1775</v>
      </c>
      <c r="AI358" s="714">
        <v>105</v>
      </c>
      <c r="AJ358" s="774">
        <v>42716</v>
      </c>
      <c r="AK358" s="775">
        <v>5556.42</v>
      </c>
      <c r="AL358" s="775">
        <v>8.66</v>
      </c>
      <c r="AM358" s="775">
        <v>1719</v>
      </c>
      <c r="AN358" s="714">
        <v>101</v>
      </c>
      <c r="AT358" s="2206">
        <v>43850</v>
      </c>
      <c r="AU358" s="2199">
        <v>36.6</v>
      </c>
      <c r="AV358" s="2203">
        <v>22.9</v>
      </c>
    </row>
    <row r="359" spans="1:48" ht="15" thickBot="1">
      <c r="A359" s="712" t="s">
        <v>492</v>
      </c>
      <c r="B359" s="711">
        <v>41573</v>
      </c>
      <c r="C359" s="710">
        <v>75.5</v>
      </c>
      <c r="AB359" s="774"/>
      <c r="AC359" s="775"/>
      <c r="AD359" s="714"/>
      <c r="AG359" s="1238">
        <v>43820</v>
      </c>
      <c r="AH359" s="775">
        <v>1792</v>
      </c>
      <c r="AI359" s="714">
        <v>105</v>
      </c>
      <c r="AJ359" s="774">
        <v>42717</v>
      </c>
      <c r="AK359" s="775">
        <v>5556.61</v>
      </c>
      <c r="AL359" s="775">
        <v>8.66</v>
      </c>
      <c r="AM359" s="775">
        <v>1738</v>
      </c>
      <c r="AN359" s="714">
        <v>102</v>
      </c>
      <c r="AT359" s="2206">
        <v>43851</v>
      </c>
      <c r="AU359" s="2199">
        <v>42.4</v>
      </c>
      <c r="AV359" s="2203">
        <v>13.2</v>
      </c>
    </row>
    <row r="360" spans="1:48" ht="15" thickBot="1">
      <c r="A360" s="712" t="s">
        <v>492</v>
      </c>
      <c r="B360" s="711">
        <v>41574</v>
      </c>
      <c r="C360" s="710">
        <v>73.7</v>
      </c>
      <c r="AB360" s="774"/>
      <c r="AC360" s="775"/>
      <c r="AD360" s="714"/>
      <c r="AG360" s="1238">
        <v>43821</v>
      </c>
      <c r="AH360" s="775">
        <v>1812</v>
      </c>
      <c r="AI360" s="714">
        <v>106</v>
      </c>
      <c r="AJ360" s="774">
        <v>42718</v>
      </c>
      <c r="AK360" s="775">
        <v>5556.8</v>
      </c>
      <c r="AL360" s="775">
        <v>8.66</v>
      </c>
      <c r="AM360" s="775">
        <v>1758</v>
      </c>
      <c r="AN360" s="714">
        <v>102</v>
      </c>
      <c r="AT360" s="2206">
        <v>43852</v>
      </c>
      <c r="AU360" s="2199">
        <v>40.4</v>
      </c>
      <c r="AV360" s="2203">
        <v>9.2100000000000009</v>
      </c>
    </row>
    <row r="361" spans="1:48" ht="15" thickBot="1">
      <c r="A361" s="712" t="s">
        <v>492</v>
      </c>
      <c r="B361" s="711">
        <v>41575</v>
      </c>
      <c r="C361" s="710">
        <v>73.099999999999994</v>
      </c>
      <c r="AB361" s="774"/>
      <c r="AC361" s="775"/>
      <c r="AD361" s="714"/>
      <c r="AG361" s="1238">
        <v>43822</v>
      </c>
      <c r="AH361" s="775">
        <v>1828</v>
      </c>
      <c r="AI361" s="714">
        <v>106</v>
      </c>
      <c r="AJ361" s="774">
        <v>42719</v>
      </c>
      <c r="AK361" s="775">
        <v>5556.96</v>
      </c>
      <c r="AL361" s="775">
        <v>8.66</v>
      </c>
      <c r="AM361" s="775">
        <v>1774</v>
      </c>
      <c r="AN361" s="714">
        <v>103</v>
      </c>
      <c r="AT361" s="2206">
        <v>43853</v>
      </c>
      <c r="AU361" s="2199">
        <v>30.9</v>
      </c>
      <c r="AV361" s="2203">
        <v>8.98</v>
      </c>
    </row>
    <row r="362" spans="1:48" ht="15" thickBot="1">
      <c r="A362" s="712" t="s">
        <v>492</v>
      </c>
      <c r="B362" s="711">
        <v>41576</v>
      </c>
      <c r="C362" s="710">
        <v>70</v>
      </c>
      <c r="AB362" s="774"/>
      <c r="AC362" s="775"/>
      <c r="AD362" s="714"/>
      <c r="AG362" s="1238">
        <v>43823</v>
      </c>
      <c r="AH362" s="775">
        <v>1829</v>
      </c>
      <c r="AI362" s="714">
        <v>106</v>
      </c>
      <c r="AJ362" s="774">
        <v>42720</v>
      </c>
      <c r="AK362" s="775">
        <v>5557.18</v>
      </c>
      <c r="AL362" s="775">
        <v>8.66</v>
      </c>
      <c r="AM362" s="775">
        <v>1797</v>
      </c>
      <c r="AN362" s="714">
        <v>104</v>
      </c>
      <c r="AT362" s="2206">
        <v>43854</v>
      </c>
      <c r="AU362" s="2199">
        <v>42.8</v>
      </c>
      <c r="AV362" s="2203">
        <v>13.9</v>
      </c>
    </row>
    <row r="363" spans="1:48" ht="15" thickBot="1">
      <c r="A363" s="712" t="s">
        <v>492</v>
      </c>
      <c r="B363" s="711">
        <v>41577</v>
      </c>
      <c r="C363" s="710">
        <v>71.2</v>
      </c>
      <c r="AB363" s="774"/>
      <c r="AC363" s="775"/>
      <c r="AD363" s="714"/>
      <c r="AG363" s="1238">
        <v>43824</v>
      </c>
      <c r="AH363" s="775">
        <v>1826</v>
      </c>
      <c r="AI363" s="714">
        <v>106</v>
      </c>
      <c r="AJ363" s="774">
        <v>42721</v>
      </c>
      <c r="AK363" s="775">
        <v>5557.38</v>
      </c>
      <c r="AL363" s="775">
        <v>8.66</v>
      </c>
      <c r="AM363" s="775">
        <v>1818</v>
      </c>
      <c r="AN363" s="714">
        <v>104</v>
      </c>
      <c r="AT363" s="2206">
        <v>43855</v>
      </c>
      <c r="AU363" s="2199">
        <v>41.1</v>
      </c>
      <c r="AV363" s="2203">
        <v>11.2</v>
      </c>
    </row>
    <row r="364" spans="1:48" ht="15" thickBot="1">
      <c r="A364" s="712" t="s">
        <v>492</v>
      </c>
      <c r="B364" s="711">
        <v>41578</v>
      </c>
      <c r="C364" s="710">
        <v>87</v>
      </c>
      <c r="AB364" s="774"/>
      <c r="AC364" s="775"/>
      <c r="AD364" s="714"/>
      <c r="AG364" s="1238">
        <v>43825</v>
      </c>
      <c r="AH364" s="775">
        <v>1818</v>
      </c>
      <c r="AI364" s="714">
        <v>106</v>
      </c>
      <c r="AJ364" s="774">
        <v>42722</v>
      </c>
      <c r="AK364" s="775">
        <v>5557.45</v>
      </c>
      <c r="AL364" s="775">
        <v>8.66</v>
      </c>
      <c r="AM364" s="775">
        <v>1825</v>
      </c>
      <c r="AN364" s="714">
        <v>104</v>
      </c>
      <c r="AT364" s="2206">
        <v>43856</v>
      </c>
      <c r="AU364" s="2199">
        <v>40.5</v>
      </c>
      <c r="AV364" s="2203">
        <v>11.3</v>
      </c>
    </row>
    <row r="365" spans="1:48" ht="15" thickBot="1">
      <c r="A365" s="712" t="s">
        <v>492</v>
      </c>
      <c r="B365" s="711">
        <v>41579</v>
      </c>
      <c r="C365" s="710">
        <v>88.5</v>
      </c>
      <c r="AB365" s="774"/>
      <c r="AC365" s="775"/>
      <c r="AD365" s="714"/>
      <c r="AG365" s="1238">
        <v>43826</v>
      </c>
      <c r="AH365" s="775">
        <v>1807</v>
      </c>
      <c r="AI365" s="714">
        <v>105</v>
      </c>
      <c r="AJ365" s="774">
        <v>42723</v>
      </c>
      <c r="AK365" s="775">
        <v>5557.53</v>
      </c>
      <c r="AL365" s="775">
        <v>8.66</v>
      </c>
      <c r="AM365" s="775">
        <v>1833</v>
      </c>
      <c r="AN365" s="714">
        <v>105</v>
      </c>
      <c r="AT365" s="2206">
        <v>43857</v>
      </c>
      <c r="AU365" s="2199">
        <v>36.6</v>
      </c>
      <c r="AV365" s="2203">
        <v>11.3</v>
      </c>
    </row>
    <row r="366" spans="1:48" ht="15" thickBot="1">
      <c r="A366" s="712" t="s">
        <v>492</v>
      </c>
      <c r="B366" s="711">
        <v>41580</v>
      </c>
      <c r="C366" s="710">
        <v>81.900000000000006</v>
      </c>
      <c r="AB366" s="774"/>
      <c r="AC366" s="775"/>
      <c r="AD366" s="714"/>
      <c r="AG366" s="1238">
        <v>43827</v>
      </c>
      <c r="AH366" s="775">
        <v>1804</v>
      </c>
      <c r="AI366" s="714">
        <v>105</v>
      </c>
      <c r="AJ366" s="774">
        <v>42724</v>
      </c>
      <c r="AK366" s="775">
        <v>5557.54</v>
      </c>
      <c r="AL366" s="775">
        <v>9.69</v>
      </c>
      <c r="AM366" s="775">
        <v>1834</v>
      </c>
      <c r="AN366" s="714">
        <v>105</v>
      </c>
      <c r="AT366" s="2206">
        <v>43858</v>
      </c>
      <c r="AU366" s="2199">
        <v>34.4</v>
      </c>
      <c r="AV366" s="2203">
        <v>11.9</v>
      </c>
    </row>
    <row r="367" spans="1:48" ht="15" thickBot="1">
      <c r="A367" s="712" t="s">
        <v>492</v>
      </c>
      <c r="B367" s="711">
        <v>41581</v>
      </c>
      <c r="C367" s="710">
        <v>81.8</v>
      </c>
      <c r="AB367" s="774"/>
      <c r="AC367" s="775"/>
      <c r="AD367" s="714"/>
      <c r="AG367" s="1238">
        <v>43828</v>
      </c>
      <c r="AH367" s="775">
        <v>1794</v>
      </c>
      <c r="AI367" s="714">
        <v>105</v>
      </c>
      <c r="AJ367" s="774">
        <v>42725</v>
      </c>
      <c r="AK367" s="775">
        <v>5557.62</v>
      </c>
      <c r="AL367" s="775">
        <v>9.74</v>
      </c>
      <c r="AM367" s="775">
        <v>1843</v>
      </c>
      <c r="AN367" s="714">
        <v>105</v>
      </c>
      <c r="AT367" s="2206">
        <v>43859</v>
      </c>
      <c r="AU367" s="2199">
        <v>35.700000000000003</v>
      </c>
      <c r="AV367" s="2203">
        <v>10.6</v>
      </c>
    </row>
    <row r="368" spans="1:48" ht="15" thickBot="1">
      <c r="A368" s="712" t="s">
        <v>492</v>
      </c>
      <c r="B368" s="711">
        <v>41582</v>
      </c>
      <c r="C368" s="710">
        <v>81.2</v>
      </c>
      <c r="AB368" s="774"/>
      <c r="AC368" s="775"/>
      <c r="AD368" s="714"/>
      <c r="AG368" s="1238">
        <v>43829</v>
      </c>
      <c r="AH368" s="775">
        <v>1777</v>
      </c>
      <c r="AI368" s="714">
        <v>105</v>
      </c>
      <c r="AJ368" s="774">
        <v>42726</v>
      </c>
      <c r="AK368" s="775">
        <v>5557.83</v>
      </c>
      <c r="AL368" s="775">
        <v>9.74</v>
      </c>
      <c r="AM368" s="775">
        <v>1864</v>
      </c>
      <c r="AN368" s="714">
        <v>105</v>
      </c>
      <c r="AT368" s="2206">
        <v>43860</v>
      </c>
      <c r="AU368" s="2199">
        <v>32.200000000000003</v>
      </c>
      <c r="AV368" s="2203">
        <v>10.9</v>
      </c>
    </row>
    <row r="369" spans="1:48" ht="15" thickBot="1">
      <c r="A369" s="712" t="s">
        <v>492</v>
      </c>
      <c r="B369" s="711">
        <v>41583</v>
      </c>
      <c r="C369" s="710">
        <v>32.1</v>
      </c>
      <c r="AB369" s="774"/>
      <c r="AC369" s="775"/>
      <c r="AD369" s="714"/>
      <c r="AG369" s="1238">
        <v>43830</v>
      </c>
      <c r="AH369" s="775">
        <v>1762</v>
      </c>
      <c r="AI369" s="714">
        <v>104</v>
      </c>
      <c r="AJ369" s="774">
        <v>42727</v>
      </c>
      <c r="AK369" s="775">
        <v>5558.03</v>
      </c>
      <c r="AL369" s="775">
        <v>9.74</v>
      </c>
      <c r="AM369" s="775">
        <v>1885</v>
      </c>
      <c r="AN369" s="714">
        <v>106</v>
      </c>
      <c r="AT369" s="2206">
        <v>43861</v>
      </c>
      <c r="AU369" s="2199">
        <v>42</v>
      </c>
      <c r="AV369" s="2203">
        <v>11.4</v>
      </c>
    </row>
    <row r="370" spans="1:48" ht="15" thickBot="1">
      <c r="A370" s="712" t="s">
        <v>492</v>
      </c>
      <c r="B370" s="711">
        <v>41584</v>
      </c>
      <c r="C370" s="710">
        <v>4.71</v>
      </c>
      <c r="AB370" s="774"/>
      <c r="AC370" s="775"/>
      <c r="AD370" s="714"/>
      <c r="AG370" s="1238">
        <v>43461</v>
      </c>
      <c r="AH370" s="775">
        <v>1332</v>
      </c>
      <c r="AI370" s="714">
        <v>91.8</v>
      </c>
      <c r="AJ370" s="774">
        <v>42728</v>
      </c>
      <c r="AK370" s="775">
        <v>5558.2</v>
      </c>
      <c r="AL370" s="775">
        <v>9.75</v>
      </c>
      <c r="AM370" s="775">
        <v>1904</v>
      </c>
      <c r="AN370" s="714">
        <v>107</v>
      </c>
      <c r="AT370" s="2206">
        <v>43862</v>
      </c>
      <c r="AU370" s="2199">
        <v>53.3</v>
      </c>
      <c r="AV370" s="2203">
        <v>10.1</v>
      </c>
    </row>
    <row r="371" spans="1:48" ht="15" thickBot="1">
      <c r="A371" s="712" t="s">
        <v>492</v>
      </c>
      <c r="B371" s="711">
        <v>41585</v>
      </c>
      <c r="C371" s="710">
        <v>31</v>
      </c>
      <c r="AB371" s="774"/>
      <c r="AC371" s="775"/>
      <c r="AD371" s="714"/>
      <c r="AG371" s="1238">
        <v>43462</v>
      </c>
      <c r="AH371" s="775">
        <v>1336</v>
      </c>
      <c r="AI371" s="714">
        <v>91.9</v>
      </c>
      <c r="AJ371" s="774">
        <v>42729</v>
      </c>
      <c r="AK371" s="775">
        <v>5558.37</v>
      </c>
      <c r="AL371" s="775">
        <v>9.75</v>
      </c>
      <c r="AM371" s="775">
        <v>1922</v>
      </c>
      <c r="AN371" s="714">
        <v>107</v>
      </c>
      <c r="AT371" s="2206">
        <v>43863</v>
      </c>
      <c r="AU371" s="2199">
        <v>53.6</v>
      </c>
      <c r="AV371" s="2203">
        <v>9.74</v>
      </c>
    </row>
    <row r="372" spans="1:48" ht="15" thickBot="1">
      <c r="A372" s="712" t="s">
        <v>492</v>
      </c>
      <c r="B372" s="711">
        <v>41586</v>
      </c>
      <c r="C372" s="710">
        <v>44.4</v>
      </c>
      <c r="AB372" s="774"/>
      <c r="AC372" s="775"/>
      <c r="AD372" s="714"/>
      <c r="AG372" s="1238">
        <v>43463</v>
      </c>
      <c r="AH372" s="775">
        <v>1338</v>
      </c>
      <c r="AI372" s="714">
        <v>92</v>
      </c>
      <c r="AJ372" s="774">
        <v>42730</v>
      </c>
      <c r="AK372" s="775">
        <v>5558.5</v>
      </c>
      <c r="AL372" s="775">
        <v>9.75</v>
      </c>
      <c r="AM372" s="775">
        <v>1937</v>
      </c>
      <c r="AN372" s="714">
        <v>108</v>
      </c>
      <c r="AT372" s="2206">
        <v>43864</v>
      </c>
      <c r="AU372" s="2199">
        <v>22.1</v>
      </c>
      <c r="AV372" s="2203">
        <v>9.98</v>
      </c>
    </row>
    <row r="373" spans="1:48" ht="15" thickBot="1">
      <c r="A373" s="712" t="s">
        <v>492</v>
      </c>
      <c r="B373" s="711">
        <v>41587</v>
      </c>
      <c r="C373" s="710">
        <v>45.2</v>
      </c>
      <c r="AB373" s="774"/>
      <c r="AC373" s="775"/>
      <c r="AD373" s="714"/>
      <c r="AG373" s="1238">
        <v>43464</v>
      </c>
      <c r="AH373" s="775">
        <v>1344</v>
      </c>
      <c r="AI373" s="714">
        <v>92.3</v>
      </c>
      <c r="AJ373" s="774">
        <v>42731</v>
      </c>
      <c r="AK373" s="775">
        <v>5558.52</v>
      </c>
      <c r="AL373" s="775">
        <v>9.75</v>
      </c>
      <c r="AM373" s="775">
        <v>1939</v>
      </c>
      <c r="AN373" s="714">
        <v>108</v>
      </c>
      <c r="AT373" s="2206">
        <v>43865</v>
      </c>
      <c r="AU373" s="2199">
        <v>12.5</v>
      </c>
      <c r="AV373" s="2203">
        <v>13.8</v>
      </c>
    </row>
    <row r="374" spans="1:48" ht="15" thickBot="1">
      <c r="A374" s="712" t="s">
        <v>492</v>
      </c>
      <c r="B374" s="711">
        <v>41588</v>
      </c>
      <c r="C374" s="710">
        <v>40.799999999999997</v>
      </c>
      <c r="AB374" s="774"/>
      <c r="AC374" s="775"/>
      <c r="AD374" s="714"/>
      <c r="AG374" s="1238">
        <v>43465</v>
      </c>
      <c r="AH374" s="775">
        <v>1352</v>
      </c>
      <c r="AI374" s="714">
        <v>92.5</v>
      </c>
      <c r="AJ374" s="774">
        <v>42732</v>
      </c>
      <c r="AK374" s="775">
        <v>5558.4</v>
      </c>
      <c r="AL374" s="775">
        <v>9.75</v>
      </c>
      <c r="AM374" s="775">
        <v>1926</v>
      </c>
      <c r="AN374" s="714">
        <v>107</v>
      </c>
      <c r="AT374" s="2206">
        <v>43866</v>
      </c>
      <c r="AU374" s="2199">
        <v>15.4</v>
      </c>
      <c r="AV374" s="2203">
        <v>15.8</v>
      </c>
    </row>
    <row r="375" spans="1:48" ht="15" thickBot="1">
      <c r="A375" s="712" t="s">
        <v>492</v>
      </c>
      <c r="B375" s="711">
        <v>41589</v>
      </c>
      <c r="C375" s="710">
        <v>38.6</v>
      </c>
      <c r="AB375" s="774"/>
      <c r="AC375" s="775"/>
      <c r="AD375" s="714"/>
      <c r="AG375" s="1238">
        <v>43466</v>
      </c>
      <c r="AH375" s="775">
        <v>1357</v>
      </c>
      <c r="AI375" s="714">
        <v>92.6</v>
      </c>
      <c r="AJ375" s="774">
        <v>42733</v>
      </c>
      <c r="AK375" s="775">
        <v>5558.34</v>
      </c>
      <c r="AL375" s="775">
        <v>9.75</v>
      </c>
      <c r="AM375" s="775">
        <v>1919</v>
      </c>
      <c r="AN375" s="714">
        <v>107</v>
      </c>
      <c r="AT375" s="2206">
        <v>43867</v>
      </c>
      <c r="AU375" s="2199">
        <v>32.4</v>
      </c>
      <c r="AV375" s="2203">
        <v>22.4</v>
      </c>
    </row>
    <row r="376" spans="1:48" ht="15" thickBot="1">
      <c r="AB376" s="774"/>
      <c r="AC376" s="775"/>
      <c r="AD376" s="714"/>
      <c r="AG376" s="1238">
        <v>43467</v>
      </c>
      <c r="AH376" s="775">
        <v>1360</v>
      </c>
      <c r="AI376" s="714">
        <v>92.8</v>
      </c>
      <c r="AJ376" s="774">
        <v>42734</v>
      </c>
      <c r="AK376" s="775">
        <v>5558.34</v>
      </c>
      <c r="AL376" s="775">
        <v>9.75</v>
      </c>
      <c r="AM376" s="775">
        <v>1919</v>
      </c>
      <c r="AN376" s="714">
        <v>107</v>
      </c>
      <c r="AT376" s="2206">
        <v>43868</v>
      </c>
      <c r="AU376" s="2199">
        <v>24</v>
      </c>
      <c r="AV376" s="2203">
        <v>20.3</v>
      </c>
    </row>
    <row r="377" spans="1:48" ht="15" thickBot="1">
      <c r="AB377" s="774"/>
      <c r="AC377" s="775"/>
      <c r="AD377" s="714"/>
      <c r="AG377" s="1238">
        <v>43468</v>
      </c>
      <c r="AH377" s="775">
        <v>1364</v>
      </c>
      <c r="AI377" s="714">
        <v>92.9</v>
      </c>
      <c r="AJ377" s="778">
        <v>42735</v>
      </c>
      <c r="AK377" s="779">
        <v>5558.33</v>
      </c>
      <c r="AL377" s="779">
        <v>9.75</v>
      </c>
      <c r="AM377" s="779">
        <v>1918</v>
      </c>
      <c r="AN377" s="731">
        <v>107</v>
      </c>
      <c r="AT377" s="2206">
        <v>43869</v>
      </c>
      <c r="AU377" s="2199">
        <v>36</v>
      </c>
      <c r="AV377" s="2203">
        <v>21.6</v>
      </c>
    </row>
    <row r="378" spans="1:48" ht="15" thickBot="1">
      <c r="AB378" s="774"/>
      <c r="AC378" s="775"/>
      <c r="AD378" s="714"/>
      <c r="AG378" s="1238">
        <v>43469</v>
      </c>
      <c r="AH378" s="775">
        <v>1368</v>
      </c>
      <c r="AI378" s="714">
        <v>93</v>
      </c>
      <c r="AT378" s="2206">
        <v>43870</v>
      </c>
      <c r="AU378" s="2199">
        <v>25.8</v>
      </c>
      <c r="AV378" s="2203">
        <v>17.8</v>
      </c>
    </row>
    <row r="379" spans="1:48" ht="15" thickBot="1">
      <c r="AB379" s="778"/>
      <c r="AC379" s="779"/>
      <c r="AD379" s="731"/>
      <c r="AG379" s="1238">
        <v>43470</v>
      </c>
      <c r="AH379" s="775">
        <v>1372</v>
      </c>
      <c r="AI379" s="714">
        <v>93.2</v>
      </c>
      <c r="AT379" s="2206">
        <v>43871</v>
      </c>
      <c r="AU379" s="2199">
        <v>22.9</v>
      </c>
      <c r="AV379" s="2203">
        <v>14.5</v>
      </c>
    </row>
    <row r="380" spans="1:48" ht="15" thickBot="1">
      <c r="AG380" s="1238">
        <v>43471</v>
      </c>
      <c r="AH380" s="775">
        <v>1378</v>
      </c>
      <c r="AI380" s="714">
        <v>93.4</v>
      </c>
      <c r="AT380" s="2206">
        <v>43872</v>
      </c>
      <c r="AU380" s="2199">
        <v>23.8</v>
      </c>
      <c r="AV380" s="2203">
        <v>17</v>
      </c>
    </row>
    <row r="381" spans="1:48" ht="15" thickBot="1">
      <c r="AG381" s="1238">
        <v>43472</v>
      </c>
      <c r="AH381" s="775">
        <v>1382</v>
      </c>
      <c r="AI381" s="714">
        <v>93.5</v>
      </c>
      <c r="AT381" s="2206">
        <v>43873</v>
      </c>
      <c r="AU381" s="2199">
        <v>28.6</v>
      </c>
      <c r="AV381" s="2203">
        <v>17.899999999999999</v>
      </c>
    </row>
    <row r="382" spans="1:48" ht="15" thickBot="1">
      <c r="AG382" s="1238">
        <v>43473</v>
      </c>
      <c r="AH382" s="775">
        <v>1384</v>
      </c>
      <c r="AI382" s="714">
        <v>93.6</v>
      </c>
      <c r="AT382" s="2206">
        <v>43874</v>
      </c>
      <c r="AU382" s="2199">
        <v>19.100000000000001</v>
      </c>
      <c r="AV382" s="2203">
        <v>16.3</v>
      </c>
    </row>
    <row r="383" spans="1:48" ht="15" thickBot="1">
      <c r="AG383" s="1238">
        <v>43474</v>
      </c>
      <c r="AH383" s="775">
        <v>1385</v>
      </c>
      <c r="AI383" s="714">
        <v>93.6</v>
      </c>
      <c r="AT383" s="2206">
        <v>43875</v>
      </c>
      <c r="AU383" s="2199">
        <v>38.5</v>
      </c>
      <c r="AV383" s="2203">
        <v>17.600000000000001</v>
      </c>
    </row>
    <row r="384" spans="1:48" ht="15" thickBot="1">
      <c r="AG384" s="1238">
        <v>43475</v>
      </c>
      <c r="AH384" s="775">
        <v>1389</v>
      </c>
      <c r="AI384" s="714">
        <v>93.7</v>
      </c>
      <c r="AT384" s="2206">
        <v>43876</v>
      </c>
      <c r="AU384" s="2199">
        <v>30</v>
      </c>
      <c r="AV384" s="2203">
        <v>16</v>
      </c>
    </row>
    <row r="385" spans="33:48" ht="15" thickBot="1">
      <c r="AG385" s="1238">
        <v>43476</v>
      </c>
      <c r="AH385" s="775">
        <v>1396</v>
      </c>
      <c r="AI385" s="714">
        <v>94</v>
      </c>
      <c r="AT385" s="2206">
        <v>43877</v>
      </c>
      <c r="AU385" s="2199">
        <v>36.9</v>
      </c>
      <c r="AV385" s="2203">
        <v>13.6</v>
      </c>
    </row>
    <row r="386" spans="33:48" ht="15" thickBot="1">
      <c r="AG386" s="1238">
        <v>43477</v>
      </c>
      <c r="AH386" s="775">
        <v>1411</v>
      </c>
      <c r="AI386" s="714">
        <v>94.5</v>
      </c>
      <c r="AT386" s="2206">
        <v>43878</v>
      </c>
      <c r="AU386" s="2199">
        <v>32.700000000000003</v>
      </c>
      <c r="AV386" s="2203">
        <v>11.2</v>
      </c>
    </row>
    <row r="387" spans="33:48" ht="15" thickBot="1">
      <c r="AG387" s="1238">
        <v>43478</v>
      </c>
      <c r="AH387" s="775">
        <v>1419</v>
      </c>
      <c r="AI387" s="714">
        <v>94.8</v>
      </c>
      <c r="AT387" s="2206">
        <v>43879</v>
      </c>
      <c r="AU387" s="2199">
        <v>24.7</v>
      </c>
      <c r="AV387" s="2203">
        <v>13.2</v>
      </c>
    </row>
    <row r="388" spans="33:48" ht="15" thickBot="1">
      <c r="AG388" s="1238">
        <v>43479</v>
      </c>
      <c r="AH388" s="775">
        <v>1424</v>
      </c>
      <c r="AI388" s="714">
        <v>94.9</v>
      </c>
      <c r="AT388" s="2206">
        <v>43880</v>
      </c>
      <c r="AU388" s="2199">
        <v>18.8</v>
      </c>
      <c r="AV388" s="2203">
        <v>28.5</v>
      </c>
    </row>
    <row r="389" spans="33:48" ht="15" thickBot="1">
      <c r="AG389" s="1238">
        <v>43480</v>
      </c>
      <c r="AH389" s="775">
        <v>1430</v>
      </c>
      <c r="AI389" s="714">
        <v>95.1</v>
      </c>
      <c r="AT389" s="2206">
        <v>43881</v>
      </c>
      <c r="AU389" s="2199">
        <v>20.399999999999999</v>
      </c>
      <c r="AV389" s="2203">
        <v>39</v>
      </c>
    </row>
    <row r="390" spans="33:48" ht="15" thickBot="1">
      <c r="AG390" s="1238">
        <v>43481</v>
      </c>
      <c r="AH390" s="775">
        <v>1442</v>
      </c>
      <c r="AI390" s="714">
        <v>95.4</v>
      </c>
      <c r="AT390" s="2206">
        <v>43882</v>
      </c>
      <c r="AU390" s="2199">
        <v>36.700000000000003</v>
      </c>
      <c r="AV390" s="2203">
        <v>23.7</v>
      </c>
    </row>
    <row r="391" spans="33:48" ht="15" thickBot="1">
      <c r="AG391" s="1238">
        <v>43482</v>
      </c>
      <c r="AH391" s="775">
        <v>1456</v>
      </c>
      <c r="AI391" s="714">
        <v>95.8</v>
      </c>
      <c r="AT391" s="2206">
        <v>43883</v>
      </c>
      <c r="AU391" s="2199">
        <v>43.5</v>
      </c>
      <c r="AV391" s="2203">
        <v>13.2</v>
      </c>
    </row>
    <row r="392" spans="33:48" ht="15" thickBot="1">
      <c r="AG392" s="1238">
        <v>43483</v>
      </c>
      <c r="AH392" s="775">
        <v>1469</v>
      </c>
      <c r="AI392" s="714">
        <v>96.2</v>
      </c>
      <c r="AT392" s="2206">
        <v>43884</v>
      </c>
      <c r="AU392" s="2199">
        <v>37.5</v>
      </c>
      <c r="AV392" s="2203">
        <v>11.6</v>
      </c>
    </row>
    <row r="393" spans="33:48" ht="15" thickBot="1">
      <c r="AG393" s="1238">
        <v>43484</v>
      </c>
      <c r="AH393" s="775">
        <v>1478</v>
      </c>
      <c r="AI393" s="714">
        <v>96.4</v>
      </c>
      <c r="AT393" s="2206">
        <v>43885</v>
      </c>
      <c r="AU393" s="2199">
        <v>31.5</v>
      </c>
      <c r="AV393" s="2203">
        <v>12.8</v>
      </c>
    </row>
    <row r="394" spans="33:48" ht="15" thickBot="1">
      <c r="AG394" s="1238">
        <v>43485</v>
      </c>
      <c r="AH394" s="775">
        <v>1490</v>
      </c>
      <c r="AI394" s="714">
        <v>96.7</v>
      </c>
      <c r="AT394" s="2206">
        <v>43886</v>
      </c>
      <c r="AU394" s="2199">
        <v>22.6</v>
      </c>
      <c r="AV394" s="2203">
        <v>30.7</v>
      </c>
    </row>
    <row r="395" spans="33:48" ht="15" thickBot="1">
      <c r="AG395" s="1238">
        <v>43486</v>
      </c>
      <c r="AH395" s="775">
        <v>1501</v>
      </c>
      <c r="AI395" s="714">
        <v>97</v>
      </c>
      <c r="AT395" s="2206">
        <v>43887</v>
      </c>
      <c r="AU395" s="2199">
        <v>29.1</v>
      </c>
      <c r="AV395" s="2203">
        <v>22.6</v>
      </c>
    </row>
    <row r="396" spans="33:48" ht="15" thickBot="1">
      <c r="AG396" s="1238">
        <v>43487</v>
      </c>
      <c r="AH396" s="775">
        <v>1513</v>
      </c>
      <c r="AI396" s="714">
        <v>97.3</v>
      </c>
      <c r="AT396" s="2206">
        <v>43888</v>
      </c>
      <c r="AU396" s="2199">
        <v>39.5</v>
      </c>
      <c r="AV396" s="2203">
        <v>13.7</v>
      </c>
    </row>
    <row r="397" spans="33:48" ht="15" thickBot="1">
      <c r="AG397" s="1238">
        <v>43488</v>
      </c>
      <c r="AH397" s="775">
        <v>1516</v>
      </c>
      <c r="AI397" s="714">
        <v>97.4</v>
      </c>
      <c r="AT397" s="2206">
        <v>43889</v>
      </c>
      <c r="AU397" s="2199">
        <v>42.4</v>
      </c>
      <c r="AV397" s="2203">
        <v>11.5</v>
      </c>
    </row>
    <row r="398" spans="33:48" ht="15" thickBot="1">
      <c r="AG398" s="1238">
        <v>43489</v>
      </c>
      <c r="AH398" s="775">
        <v>1517</v>
      </c>
      <c r="AI398" s="714">
        <v>97.4</v>
      </c>
      <c r="AT398" s="2206">
        <v>43890</v>
      </c>
      <c r="AU398" s="2199">
        <v>42.6</v>
      </c>
      <c r="AV398" s="2203">
        <v>12.7</v>
      </c>
    </row>
    <row r="399" spans="33:48" ht="15" thickBot="1">
      <c r="AG399" s="1238">
        <v>43490</v>
      </c>
      <c r="AH399" s="775">
        <v>1508</v>
      </c>
      <c r="AI399" s="714">
        <v>97.2</v>
      </c>
      <c r="AT399" s="2206">
        <v>43891</v>
      </c>
      <c r="AU399" s="2199">
        <v>34.6</v>
      </c>
      <c r="AV399" s="2203">
        <v>13.3</v>
      </c>
    </row>
    <row r="400" spans="33:48" ht="15" thickBot="1">
      <c r="AG400" s="1238">
        <v>43491</v>
      </c>
      <c r="AH400" s="775">
        <v>1500</v>
      </c>
      <c r="AI400" s="714">
        <v>97</v>
      </c>
      <c r="AT400" s="2206">
        <v>43892</v>
      </c>
      <c r="AU400" s="2199">
        <v>35.700000000000003</v>
      </c>
      <c r="AV400" s="2203">
        <v>12.3</v>
      </c>
    </row>
    <row r="401" spans="33:48" ht="15" thickBot="1">
      <c r="AG401" s="1238">
        <v>43492</v>
      </c>
      <c r="AH401" s="775">
        <v>1496</v>
      </c>
      <c r="AI401" s="714">
        <v>96.9</v>
      </c>
      <c r="AT401" s="2206">
        <v>43893</v>
      </c>
      <c r="AU401" s="2199">
        <v>43.1</v>
      </c>
      <c r="AV401" s="2203">
        <v>13</v>
      </c>
    </row>
    <row r="402" spans="33:48" ht="15" thickBot="1">
      <c r="AG402" s="1238">
        <v>43493</v>
      </c>
      <c r="AH402" s="775">
        <v>1491</v>
      </c>
      <c r="AI402" s="714">
        <v>96.8</v>
      </c>
      <c r="AT402" s="2206">
        <v>43894</v>
      </c>
      <c r="AU402" s="2199">
        <v>46.8</v>
      </c>
      <c r="AV402" s="2203">
        <v>15.1</v>
      </c>
    </row>
    <row r="403" spans="33:48" ht="15" thickBot="1">
      <c r="AG403" s="1238">
        <v>43494</v>
      </c>
      <c r="AH403" s="775">
        <v>1478</v>
      </c>
      <c r="AI403" s="714">
        <v>96.4</v>
      </c>
      <c r="AT403" s="2206">
        <v>43895</v>
      </c>
      <c r="AU403" s="2199">
        <v>39.1</v>
      </c>
      <c r="AV403" s="2203">
        <v>16.7</v>
      </c>
    </row>
    <row r="404" spans="33:48" ht="15" thickBot="1">
      <c r="AG404" s="1239">
        <v>43495</v>
      </c>
      <c r="AH404" s="779">
        <v>1457</v>
      </c>
      <c r="AI404" s="731">
        <v>95.8</v>
      </c>
      <c r="AT404" s="2206">
        <v>43896</v>
      </c>
      <c r="AU404" s="2199">
        <v>48.4</v>
      </c>
      <c r="AV404" s="2203">
        <v>18</v>
      </c>
    </row>
    <row r="405" spans="33:48" ht="14.5" thickBot="1">
      <c r="AT405" s="2206">
        <v>43897</v>
      </c>
      <c r="AU405" s="2199">
        <v>52.3</v>
      </c>
      <c r="AV405" s="2203">
        <v>19.7</v>
      </c>
    </row>
    <row r="406" spans="33:48" ht="14.5" thickBot="1">
      <c r="AT406" s="2206">
        <v>43898</v>
      </c>
      <c r="AU406" s="2199">
        <v>51.5</v>
      </c>
      <c r="AV406" s="2203">
        <v>21.6</v>
      </c>
    </row>
    <row r="407" spans="33:48" ht="14.5" thickBot="1">
      <c r="AT407" s="2206">
        <v>43899</v>
      </c>
      <c r="AU407" s="2199">
        <v>44.7</v>
      </c>
      <c r="AV407" s="2203">
        <v>25.2</v>
      </c>
    </row>
    <row r="408" spans="33:48" ht="14.5" thickBot="1">
      <c r="AT408" s="2206">
        <v>43900</v>
      </c>
      <c r="AU408" s="2199">
        <v>47.8</v>
      </c>
      <c r="AV408" s="2203">
        <v>24.1</v>
      </c>
    </row>
    <row r="409" spans="33:48" ht="14.5" thickBot="1">
      <c r="AT409" s="2206">
        <v>43901</v>
      </c>
      <c r="AU409" s="2199">
        <v>49.7</v>
      </c>
      <c r="AV409" s="2203">
        <v>22.7</v>
      </c>
    </row>
    <row r="410" spans="33:48" ht="14.5" thickBot="1">
      <c r="AT410" s="2206">
        <v>43902</v>
      </c>
      <c r="AU410" s="2199">
        <v>43.9</v>
      </c>
      <c r="AV410" s="2203">
        <v>24.3</v>
      </c>
    </row>
    <row r="411" spans="33:48" ht="14.5" thickBot="1">
      <c r="AT411" s="2206">
        <v>43903</v>
      </c>
      <c r="AU411" s="2199">
        <v>34.799999999999997</v>
      </c>
      <c r="AV411" s="2203">
        <v>21.5</v>
      </c>
    </row>
    <row r="412" spans="33:48" ht="14.5" thickBot="1">
      <c r="AT412" s="2206">
        <v>43904</v>
      </c>
      <c r="AU412" s="2199">
        <v>36.5</v>
      </c>
      <c r="AV412" s="2203">
        <v>18.100000000000001</v>
      </c>
    </row>
    <row r="413" spans="33:48" ht="14.5" thickBot="1">
      <c r="AT413" s="2206">
        <v>43905</v>
      </c>
      <c r="AU413" s="2199">
        <v>41.3</v>
      </c>
      <c r="AV413" s="2203">
        <v>17.8</v>
      </c>
    </row>
    <row r="414" spans="33:48" ht="14.5" thickBot="1">
      <c r="AT414" s="2206">
        <v>43906</v>
      </c>
      <c r="AU414" s="2199">
        <v>46</v>
      </c>
      <c r="AV414" s="2203">
        <v>19.2</v>
      </c>
    </row>
    <row r="415" spans="33:48" ht="14.5" thickBot="1">
      <c r="AT415" s="2206">
        <v>43907</v>
      </c>
      <c r="AU415" s="2199">
        <v>44</v>
      </c>
      <c r="AV415" s="2203">
        <v>21.9</v>
      </c>
    </row>
    <row r="416" spans="33:48" ht="14.5" thickBot="1">
      <c r="AT416" s="2206">
        <v>43908</v>
      </c>
      <c r="AU416" s="2199">
        <v>49.9</v>
      </c>
      <c r="AV416" s="2203">
        <v>21.7</v>
      </c>
    </row>
    <row r="417" spans="46:48" ht="14.5" thickBot="1">
      <c r="AT417" s="2206">
        <v>43909</v>
      </c>
      <c r="AU417" s="2199">
        <v>33.799999999999997</v>
      </c>
      <c r="AV417" s="2203">
        <v>24.1</v>
      </c>
    </row>
    <row r="418" spans="46:48" ht="14.5" thickBot="1">
      <c r="AT418" s="2206">
        <v>43910</v>
      </c>
      <c r="AU418" s="2199">
        <v>23.5</v>
      </c>
      <c r="AV418" s="2203">
        <v>18.3</v>
      </c>
    </row>
    <row r="419" spans="46:48" ht="14.5" thickBot="1">
      <c r="AT419" s="2206">
        <v>43911</v>
      </c>
      <c r="AU419" s="2199">
        <v>35.799999999999997</v>
      </c>
      <c r="AV419" s="2203">
        <v>19.8</v>
      </c>
    </row>
    <row r="420" spans="46:48" ht="14.5" thickBot="1">
      <c r="AT420" s="2206">
        <v>43912</v>
      </c>
      <c r="AU420" s="2199">
        <v>40.9</v>
      </c>
      <c r="AV420" s="2203">
        <v>21.3</v>
      </c>
    </row>
    <row r="421" spans="46:48" ht="14.5" thickBot="1">
      <c r="AT421" s="2206">
        <v>43913</v>
      </c>
      <c r="AU421" s="2199">
        <v>42.8</v>
      </c>
      <c r="AV421" s="2203">
        <v>21.7</v>
      </c>
    </row>
    <row r="422" spans="46:48" ht="14.5" thickBot="1">
      <c r="AT422" s="2206">
        <v>43914</v>
      </c>
      <c r="AU422" s="2199">
        <v>47.2</v>
      </c>
      <c r="AV422" s="2203">
        <v>22.2</v>
      </c>
    </row>
    <row r="423" spans="46:48" ht="14.5" thickBot="1">
      <c r="AT423" s="2206">
        <v>43915</v>
      </c>
      <c r="AU423" s="2199">
        <v>50.8</v>
      </c>
      <c r="AV423" s="2203">
        <v>25</v>
      </c>
    </row>
    <row r="424" spans="46:48" ht="14.5" thickBot="1">
      <c r="AT424" s="2206">
        <v>43916</v>
      </c>
      <c r="AU424" s="2199">
        <v>44.2</v>
      </c>
      <c r="AV424" s="2203">
        <v>25.7</v>
      </c>
    </row>
    <row r="425" spans="46:48" ht="14.5" thickBot="1">
      <c r="AT425" s="2206">
        <v>43917</v>
      </c>
      <c r="AU425" s="2199">
        <v>36.799999999999997</v>
      </c>
      <c r="AV425" s="2203">
        <v>26</v>
      </c>
    </row>
    <row r="426" spans="46:48" ht="14.5" thickBot="1">
      <c r="AT426" s="2206">
        <v>43918</v>
      </c>
      <c r="AU426" s="2199">
        <v>37.9</v>
      </c>
      <c r="AV426" s="2203">
        <v>24.1</v>
      </c>
    </row>
    <row r="427" spans="46:48" ht="14.5" thickBot="1">
      <c r="AT427" s="2206">
        <v>43919</v>
      </c>
      <c r="AU427" s="2199">
        <v>43.7</v>
      </c>
      <c r="AV427" s="2203">
        <v>22.3</v>
      </c>
    </row>
    <row r="428" spans="46:48" ht="14.5" thickBot="1">
      <c r="AT428" s="2206">
        <v>43920</v>
      </c>
      <c r="AU428" s="2199">
        <v>43.9</v>
      </c>
      <c r="AV428" s="2203">
        <v>22.6</v>
      </c>
    </row>
    <row r="429" spans="46:48" ht="14.5" thickBot="1">
      <c r="AT429" s="2206">
        <v>43921</v>
      </c>
      <c r="AU429" s="2199">
        <v>50</v>
      </c>
      <c r="AV429" s="2203">
        <v>22.2</v>
      </c>
    </row>
    <row r="430" spans="46:48" ht="14.5" thickBot="1">
      <c r="AT430" s="2206">
        <v>43922</v>
      </c>
      <c r="AU430" s="2199">
        <v>52.7</v>
      </c>
      <c r="AV430" s="2203">
        <v>23.5</v>
      </c>
    </row>
    <row r="431" spans="46:48" ht="14.5" thickBot="1">
      <c r="AT431" s="2206">
        <v>43923</v>
      </c>
      <c r="AU431" s="2199">
        <v>28.4</v>
      </c>
      <c r="AV431" s="2203">
        <v>23.5</v>
      </c>
    </row>
    <row r="432" spans="46:48" ht="14.5" thickBot="1">
      <c r="AT432" s="2206">
        <v>43924</v>
      </c>
      <c r="AU432" s="2199">
        <v>28.9</v>
      </c>
      <c r="AV432" s="2203">
        <v>21.5</v>
      </c>
    </row>
    <row r="433" spans="46:48" ht="14.5" thickBot="1">
      <c r="AT433" s="2206">
        <v>43925</v>
      </c>
      <c r="AU433" s="2199">
        <v>41.9</v>
      </c>
      <c r="AV433" s="2203">
        <v>20.3</v>
      </c>
    </row>
    <row r="434" spans="46:48" ht="14.5" thickBot="1">
      <c r="AT434" s="2206">
        <v>43926</v>
      </c>
      <c r="AU434" s="2199">
        <v>51.4</v>
      </c>
      <c r="AV434" s="2203">
        <v>22.2</v>
      </c>
    </row>
    <row r="435" spans="46:48" ht="14.5" thickBot="1">
      <c r="AT435" s="2207">
        <v>43927</v>
      </c>
      <c r="AU435" s="2204">
        <v>56.1</v>
      </c>
      <c r="AV435" s="2205">
        <v>23.2</v>
      </c>
    </row>
  </sheetData>
  <mergeCells count="14">
    <mergeCell ref="H164:H165"/>
    <mergeCell ref="A162:A163"/>
    <mergeCell ref="A1:P1"/>
    <mergeCell ref="A63:D63"/>
    <mergeCell ref="A58:D58"/>
    <mergeCell ref="A59:D59"/>
    <mergeCell ref="A60:D60"/>
    <mergeCell ref="A61:D61"/>
    <mergeCell ref="A62:D62"/>
    <mergeCell ref="N25:N26"/>
    <mergeCell ref="H163:U163"/>
    <mergeCell ref="H162:U162"/>
    <mergeCell ref="G63:N63"/>
    <mergeCell ref="B2:C2"/>
  </mergeCells>
  <phoneticPr fontId="11" type="noConversion"/>
  <pageMargins left="0.75" right="0.75" top="1" bottom="1" header="0.5" footer="0.5"/>
  <pageSetup orientation="portrait" horizontalDpi="4294967294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A111B-F81C-4BD2-AF74-4E6E14FE15DC}">
  <sheetPr>
    <tabColor rgb="FF92D050"/>
  </sheetPr>
  <dimension ref="A1:N120"/>
  <sheetViews>
    <sheetView topLeftCell="G82" workbookViewId="0">
      <selection activeCell="T84" sqref="T84"/>
    </sheetView>
  </sheetViews>
  <sheetFormatPr defaultRowHeight="14"/>
  <sheetData>
    <row r="1" spans="1:14">
      <c r="A1" s="1969"/>
      <c r="B1" s="1969"/>
      <c r="C1" s="1969"/>
      <c r="D1" s="1969"/>
      <c r="E1" s="1969"/>
      <c r="F1" s="1969"/>
      <c r="G1" s="1969"/>
      <c r="H1" s="1969"/>
      <c r="I1" s="1969"/>
      <c r="J1" s="1969"/>
      <c r="K1" s="1969"/>
      <c r="L1" s="1969"/>
      <c r="M1" s="1969"/>
      <c r="N1" s="1969"/>
    </row>
    <row r="2" spans="1:14">
      <c r="A2" s="2279" t="s">
        <v>1904</v>
      </c>
      <c r="B2" s="2280"/>
      <c r="C2" s="2280"/>
      <c r="D2" s="2280"/>
      <c r="E2" s="2280"/>
      <c r="F2" s="2280"/>
      <c r="G2" s="2280"/>
      <c r="H2" s="2280"/>
      <c r="I2" s="2280"/>
      <c r="J2" s="2280"/>
      <c r="K2" s="2280"/>
      <c r="L2" s="2280"/>
      <c r="M2" s="2280"/>
      <c r="N2" s="2281"/>
    </row>
    <row r="3" spans="1:14">
      <c r="A3" s="2285" t="s">
        <v>1905</v>
      </c>
      <c r="B3" s="2289" t="s">
        <v>1906</v>
      </c>
      <c r="C3" s="2290"/>
      <c r="D3" s="2290"/>
      <c r="E3" s="2290"/>
      <c r="F3" s="2290"/>
      <c r="G3" s="2290"/>
      <c r="H3" s="2290"/>
      <c r="I3" s="2290"/>
      <c r="J3" s="2290"/>
      <c r="K3" s="2290"/>
      <c r="L3" s="2290"/>
      <c r="M3" s="2291"/>
      <c r="N3" s="2210"/>
    </row>
    <row r="4" spans="1:14">
      <c r="A4" s="2286"/>
      <c r="B4" s="2292"/>
      <c r="C4" s="2293"/>
      <c r="D4" s="2293"/>
      <c r="E4" s="2293"/>
      <c r="F4" s="2293"/>
      <c r="G4" s="2293"/>
      <c r="H4" s="2293"/>
      <c r="I4" s="2293"/>
      <c r="J4" s="2293"/>
      <c r="K4" s="2293"/>
      <c r="L4" s="2293"/>
      <c r="M4" s="2294"/>
      <c r="N4" s="2210"/>
    </row>
    <row r="5" spans="1:14">
      <c r="A5" s="2286"/>
      <c r="B5" s="2282" t="s">
        <v>1901</v>
      </c>
      <c r="C5" s="2283"/>
      <c r="D5" s="2283"/>
      <c r="E5" s="2283"/>
      <c r="F5" s="2283"/>
      <c r="G5" s="2283"/>
      <c r="H5" s="2283"/>
      <c r="I5" s="2283"/>
      <c r="J5" s="2283"/>
      <c r="K5" s="2283"/>
      <c r="L5" s="2283"/>
      <c r="M5" s="2284"/>
      <c r="N5" s="2210"/>
    </row>
    <row r="6" spans="1:14">
      <c r="A6" s="2287"/>
      <c r="B6" s="2212" t="s">
        <v>64</v>
      </c>
      <c r="C6" s="2212" t="s">
        <v>65</v>
      </c>
      <c r="D6" s="2212" t="s">
        <v>66</v>
      </c>
      <c r="E6" s="2212" t="s">
        <v>67</v>
      </c>
      <c r="F6" s="2212" t="s">
        <v>68</v>
      </c>
      <c r="G6" s="2212" t="s">
        <v>69</v>
      </c>
      <c r="H6" s="2212" t="s">
        <v>70</v>
      </c>
      <c r="I6" s="2212" t="s">
        <v>71</v>
      </c>
      <c r="J6" s="2212" t="s">
        <v>72</v>
      </c>
      <c r="K6" s="2212" t="s">
        <v>73</v>
      </c>
      <c r="L6" s="2212" t="s">
        <v>74</v>
      </c>
      <c r="M6" s="2212" t="s">
        <v>75</v>
      </c>
      <c r="N6" s="2210"/>
    </row>
    <row r="7" spans="1:14">
      <c r="A7" s="2216">
        <v>1984</v>
      </c>
      <c r="B7" s="2213"/>
      <c r="C7" s="2213"/>
      <c r="D7" s="2213"/>
      <c r="E7" s="2213"/>
      <c r="F7" s="2213"/>
      <c r="G7" s="2213"/>
      <c r="H7" s="2213"/>
      <c r="I7" s="2213"/>
      <c r="J7" s="2213"/>
      <c r="K7" s="2213">
        <v>85.1</v>
      </c>
      <c r="L7" s="2213">
        <v>56.2</v>
      </c>
      <c r="M7" s="2213">
        <v>32.799999999999997</v>
      </c>
      <c r="N7" s="2210"/>
    </row>
    <row r="8" spans="1:14">
      <c r="A8" s="2216">
        <v>1985</v>
      </c>
      <c r="B8" s="2213">
        <v>18.3</v>
      </c>
      <c r="C8" s="2213">
        <v>14.7</v>
      </c>
      <c r="D8" s="2213">
        <v>19.2</v>
      </c>
      <c r="E8" s="2213">
        <v>36.9</v>
      </c>
      <c r="F8" s="2213">
        <v>114.9</v>
      </c>
      <c r="G8" s="2213">
        <v>103.8</v>
      </c>
      <c r="H8" s="2213">
        <v>76.5</v>
      </c>
      <c r="I8" s="2213">
        <v>70.099999999999994</v>
      </c>
      <c r="J8" s="2213">
        <v>36.4</v>
      </c>
      <c r="K8" s="2213">
        <v>29.1</v>
      </c>
      <c r="L8" s="2213">
        <v>19.100000000000001</v>
      </c>
      <c r="M8" s="2213">
        <v>19.8</v>
      </c>
      <c r="N8" s="2217">
        <f>AVERAGE(B8:M8)</f>
        <v>46.566666666666663</v>
      </c>
    </row>
    <row r="9" spans="1:14">
      <c r="A9" s="2216">
        <v>1986</v>
      </c>
      <c r="B9" s="2213">
        <v>16.8</v>
      </c>
      <c r="C9" s="2213">
        <v>16.600000000000001</v>
      </c>
      <c r="D9" s="2213">
        <v>17.600000000000001</v>
      </c>
      <c r="E9" s="2213">
        <v>34.700000000000003</v>
      </c>
      <c r="F9" s="2213">
        <v>67.400000000000006</v>
      </c>
      <c r="G9" s="2213">
        <v>113.1</v>
      </c>
      <c r="H9" s="2213">
        <v>71.400000000000006</v>
      </c>
      <c r="I9" s="2213">
        <v>37.200000000000003</v>
      </c>
      <c r="J9" s="2213">
        <v>28.6</v>
      </c>
      <c r="K9" s="2213">
        <v>29.6</v>
      </c>
      <c r="L9" s="2213">
        <v>23.3</v>
      </c>
      <c r="M9" s="2213">
        <v>20.5</v>
      </c>
      <c r="N9" s="2217">
        <f t="shared" ref="N9:N42" si="0">AVERAGE(B9:M9)</f>
        <v>39.733333333333341</v>
      </c>
    </row>
    <row r="10" spans="1:14">
      <c r="A10" s="2216">
        <v>1987</v>
      </c>
      <c r="B10" s="2213">
        <v>15.7</v>
      </c>
      <c r="C10" s="2213">
        <v>12.6</v>
      </c>
      <c r="D10" s="2213">
        <v>23.1</v>
      </c>
      <c r="E10" s="2213">
        <v>89.7</v>
      </c>
      <c r="F10" s="2213">
        <v>230.2</v>
      </c>
      <c r="G10" s="2213">
        <v>144.1</v>
      </c>
      <c r="H10" s="2213">
        <v>66.900000000000006</v>
      </c>
      <c r="I10" s="2213">
        <v>46.4</v>
      </c>
      <c r="J10" s="2213">
        <v>32.799999999999997</v>
      </c>
      <c r="K10" s="2213">
        <v>28.2</v>
      </c>
      <c r="L10" s="2213">
        <v>42.5</v>
      </c>
      <c r="M10" s="2213">
        <v>16.399999999999999</v>
      </c>
      <c r="N10" s="2217">
        <f t="shared" si="0"/>
        <v>62.383333333333326</v>
      </c>
    </row>
    <row r="11" spans="1:14">
      <c r="A11" s="2216">
        <v>1988</v>
      </c>
      <c r="B11" s="2213">
        <v>16</v>
      </c>
      <c r="C11" s="2213">
        <v>14</v>
      </c>
      <c r="D11" s="2213">
        <v>13.4</v>
      </c>
      <c r="E11" s="2213">
        <v>44.2</v>
      </c>
      <c r="F11" s="2213">
        <v>82.1</v>
      </c>
      <c r="G11" s="2213">
        <v>99.8</v>
      </c>
      <c r="H11" s="2213">
        <v>58.8</v>
      </c>
      <c r="I11" s="2213">
        <v>33.299999999999997</v>
      </c>
      <c r="J11" s="2213">
        <v>35.700000000000003</v>
      </c>
      <c r="K11" s="2213">
        <v>20.5</v>
      </c>
      <c r="L11" s="2213">
        <v>16.5</v>
      </c>
      <c r="M11" s="2213">
        <v>13.4</v>
      </c>
      <c r="N11" s="2217">
        <f t="shared" si="0"/>
        <v>37.30833333333333</v>
      </c>
    </row>
    <row r="12" spans="1:14">
      <c r="A12" s="2216">
        <v>1989</v>
      </c>
      <c r="B12" s="2213">
        <v>13.1</v>
      </c>
      <c r="C12" s="2213">
        <v>12</v>
      </c>
      <c r="D12" s="2213">
        <v>12.9</v>
      </c>
      <c r="E12" s="2213">
        <v>21.3</v>
      </c>
      <c r="F12" s="2213">
        <v>46.4</v>
      </c>
      <c r="G12" s="2213">
        <v>74.5</v>
      </c>
      <c r="H12" s="2213">
        <v>53.7</v>
      </c>
      <c r="I12" s="2213">
        <v>44.7</v>
      </c>
      <c r="J12" s="2213">
        <v>29.5</v>
      </c>
      <c r="K12" s="2213">
        <v>21</v>
      </c>
      <c r="L12" s="2213">
        <v>21.1</v>
      </c>
      <c r="M12" s="2213">
        <v>13.8</v>
      </c>
      <c r="N12" s="2217">
        <f t="shared" si="0"/>
        <v>30.333333333333332</v>
      </c>
    </row>
    <row r="13" spans="1:14">
      <c r="A13" s="2216">
        <v>1990</v>
      </c>
      <c r="B13" s="2213">
        <v>10.4</v>
      </c>
      <c r="C13" s="2213">
        <v>8.89</v>
      </c>
      <c r="D13" s="2213">
        <v>14.5</v>
      </c>
      <c r="E13" s="2213">
        <v>41</v>
      </c>
      <c r="F13" s="2213">
        <v>61.9</v>
      </c>
      <c r="G13" s="2213">
        <v>49.8</v>
      </c>
      <c r="H13" s="2213">
        <v>51.7</v>
      </c>
      <c r="I13" s="2213">
        <v>53</v>
      </c>
      <c r="J13" s="2213">
        <v>46.5</v>
      </c>
      <c r="K13" s="2213">
        <v>34.4</v>
      </c>
      <c r="L13" s="2213">
        <v>26.4</v>
      </c>
      <c r="M13" s="2213">
        <v>14.7</v>
      </c>
      <c r="N13" s="2217">
        <f t="shared" si="0"/>
        <v>34.432499999999997</v>
      </c>
    </row>
    <row r="14" spans="1:14">
      <c r="A14" s="2216">
        <v>1991</v>
      </c>
      <c r="B14" s="2213">
        <v>11.2</v>
      </c>
      <c r="C14" s="2213">
        <v>9.86</v>
      </c>
      <c r="D14" s="2213">
        <v>10.8</v>
      </c>
      <c r="E14" s="2213">
        <v>13.9</v>
      </c>
      <c r="F14" s="2213">
        <v>68.8</v>
      </c>
      <c r="G14" s="2213">
        <v>125.2</v>
      </c>
      <c r="H14" s="2213">
        <v>64.3</v>
      </c>
      <c r="I14" s="2213">
        <v>87.3</v>
      </c>
      <c r="J14" s="2213">
        <v>50.1</v>
      </c>
      <c r="K14" s="2213">
        <v>28.4</v>
      </c>
      <c r="L14" s="2213">
        <v>22.7</v>
      </c>
      <c r="M14" s="2213">
        <v>18.2</v>
      </c>
      <c r="N14" s="2217">
        <f t="shared" si="0"/>
        <v>42.563333333333333</v>
      </c>
    </row>
    <row r="15" spans="1:14">
      <c r="A15" s="2216">
        <v>1992</v>
      </c>
      <c r="B15" s="2213">
        <v>16.5</v>
      </c>
      <c r="C15" s="2213">
        <v>17.5</v>
      </c>
      <c r="D15" s="2213">
        <v>26.7</v>
      </c>
      <c r="E15" s="2213">
        <v>55.8</v>
      </c>
      <c r="F15" s="2213">
        <v>61.1</v>
      </c>
      <c r="G15" s="2213">
        <v>59</v>
      </c>
      <c r="H15" s="2213">
        <v>39</v>
      </c>
      <c r="I15" s="2213">
        <v>31.2</v>
      </c>
      <c r="J15" s="2213">
        <v>20.9</v>
      </c>
      <c r="K15" s="2213">
        <v>16.8</v>
      </c>
      <c r="L15" s="2213">
        <v>9.65</v>
      </c>
      <c r="M15" s="2213">
        <v>11.2</v>
      </c>
      <c r="N15" s="2217">
        <f t="shared" si="0"/>
        <v>30.445833333333329</v>
      </c>
    </row>
    <row r="16" spans="1:14">
      <c r="A16" s="2216">
        <v>1993</v>
      </c>
      <c r="B16" s="2213">
        <v>10.9</v>
      </c>
      <c r="C16" s="2213">
        <v>11.1</v>
      </c>
      <c r="D16" s="2213">
        <v>11.7</v>
      </c>
      <c r="E16" s="2213">
        <v>21.3</v>
      </c>
      <c r="F16" s="2213">
        <v>44.1</v>
      </c>
      <c r="G16" s="2213">
        <v>52.5</v>
      </c>
      <c r="H16" s="2213">
        <v>36</v>
      </c>
      <c r="I16" s="2213">
        <v>23.7</v>
      </c>
      <c r="J16" s="2213">
        <v>20.6</v>
      </c>
      <c r="K16" s="2213">
        <v>17.2</v>
      </c>
      <c r="L16" s="2213">
        <v>15</v>
      </c>
      <c r="M16" s="2213">
        <v>10.6</v>
      </c>
      <c r="N16" s="2217">
        <f t="shared" si="0"/>
        <v>22.891666666666666</v>
      </c>
    </row>
    <row r="17" spans="1:14">
      <c r="A17" s="2216">
        <v>1994</v>
      </c>
      <c r="B17" s="2213">
        <v>9.66</v>
      </c>
      <c r="C17" s="2213">
        <v>8.68</v>
      </c>
      <c r="D17" s="2213">
        <v>13.4</v>
      </c>
      <c r="E17" s="2213">
        <v>25.8</v>
      </c>
      <c r="F17" s="2213">
        <v>76.8</v>
      </c>
      <c r="G17" s="2213">
        <v>46.7</v>
      </c>
      <c r="H17" s="2213">
        <v>27.5</v>
      </c>
      <c r="I17" s="2213">
        <v>20.100000000000001</v>
      </c>
      <c r="J17" s="2213">
        <v>17.2</v>
      </c>
      <c r="K17" s="2213">
        <v>16</v>
      </c>
      <c r="L17" s="2213">
        <v>14.9</v>
      </c>
      <c r="M17" s="2213">
        <v>8.67</v>
      </c>
      <c r="N17" s="2217">
        <f t="shared" si="0"/>
        <v>23.784166666666668</v>
      </c>
    </row>
    <row r="18" spans="1:14">
      <c r="A18" s="2216">
        <v>1995</v>
      </c>
      <c r="B18" s="2213">
        <v>9</v>
      </c>
      <c r="C18" s="2213">
        <v>10.1</v>
      </c>
      <c r="D18" s="2213">
        <v>9.57</v>
      </c>
      <c r="E18" s="2213">
        <v>21</v>
      </c>
      <c r="F18" s="2213">
        <v>158.19999999999999</v>
      </c>
      <c r="G18" s="2213">
        <v>279.60000000000002</v>
      </c>
      <c r="H18" s="2213">
        <v>134.30000000000001</v>
      </c>
      <c r="I18" s="2213">
        <v>60.9</v>
      </c>
      <c r="J18" s="2213">
        <v>42.1</v>
      </c>
      <c r="K18" s="2213">
        <v>28.9</v>
      </c>
      <c r="L18" s="2213">
        <v>26.1</v>
      </c>
      <c r="M18" s="2213">
        <v>24.2</v>
      </c>
      <c r="N18" s="2217">
        <f t="shared" si="0"/>
        <v>66.997500000000002</v>
      </c>
    </row>
    <row r="19" spans="1:14">
      <c r="A19" s="2216">
        <v>1996</v>
      </c>
      <c r="B19" s="2213">
        <v>18.7</v>
      </c>
      <c r="C19" s="2213">
        <v>18.2</v>
      </c>
      <c r="D19" s="2213">
        <v>18.399999999999999</v>
      </c>
      <c r="E19" s="2213">
        <v>23.7</v>
      </c>
      <c r="F19" s="2213">
        <v>53.9</v>
      </c>
      <c r="G19" s="2213">
        <v>69.5</v>
      </c>
      <c r="H19" s="2213">
        <v>40.9</v>
      </c>
      <c r="I19" s="2213">
        <v>26.9</v>
      </c>
      <c r="J19" s="2213">
        <v>24.6</v>
      </c>
      <c r="K19" s="2213">
        <v>21.5</v>
      </c>
      <c r="L19" s="2213">
        <v>18.899999999999999</v>
      </c>
      <c r="M19" s="2213">
        <v>12</v>
      </c>
      <c r="N19" s="2217">
        <f t="shared" si="0"/>
        <v>28.933333333333334</v>
      </c>
    </row>
    <row r="20" spans="1:14">
      <c r="A20" s="2216">
        <v>1997</v>
      </c>
      <c r="B20" s="2213">
        <v>11.2</v>
      </c>
      <c r="C20" s="2213">
        <v>10.1</v>
      </c>
      <c r="D20" s="2213">
        <v>13.5</v>
      </c>
      <c r="E20" s="2213">
        <v>30.9</v>
      </c>
      <c r="F20" s="2213">
        <v>89.8</v>
      </c>
      <c r="G20" s="2213">
        <v>175.6</v>
      </c>
      <c r="H20" s="2213">
        <v>62.7</v>
      </c>
      <c r="I20" s="2213">
        <v>80.7</v>
      </c>
      <c r="J20" s="2213">
        <v>54.2</v>
      </c>
      <c r="K20" s="2213">
        <v>34.9</v>
      </c>
      <c r="L20" s="2213">
        <v>29.6</v>
      </c>
      <c r="M20" s="2213">
        <v>23.9</v>
      </c>
      <c r="N20" s="2217">
        <f t="shared" si="0"/>
        <v>51.425000000000004</v>
      </c>
    </row>
    <row r="21" spans="1:14">
      <c r="A21" s="2216">
        <v>1998</v>
      </c>
      <c r="B21" s="2213">
        <v>19.600000000000001</v>
      </c>
      <c r="C21" s="2213">
        <v>17.5</v>
      </c>
      <c r="D21" s="2213">
        <v>26.1</v>
      </c>
      <c r="E21" s="2213">
        <v>81.400000000000006</v>
      </c>
      <c r="F21" s="2213">
        <v>238.2</v>
      </c>
      <c r="G21" s="2213">
        <v>131</v>
      </c>
      <c r="H21" s="2213">
        <v>85.2</v>
      </c>
      <c r="I21" s="2213">
        <v>106</v>
      </c>
      <c r="J21" s="2213">
        <v>47.9</v>
      </c>
      <c r="K21" s="2213">
        <v>29.4</v>
      </c>
      <c r="L21" s="2213">
        <v>22.4</v>
      </c>
      <c r="M21" s="2213">
        <v>16.7</v>
      </c>
      <c r="N21" s="2217">
        <f t="shared" si="0"/>
        <v>68.45</v>
      </c>
    </row>
    <row r="22" spans="1:14">
      <c r="A22" s="2216">
        <v>1999</v>
      </c>
      <c r="B22" s="2213">
        <v>14.4</v>
      </c>
      <c r="C22" s="2213">
        <v>11.5</v>
      </c>
      <c r="D22" s="2213">
        <v>14.7</v>
      </c>
      <c r="E22" s="2213">
        <v>24.1</v>
      </c>
      <c r="F22" s="2213">
        <v>179.5</v>
      </c>
      <c r="G22" s="2213">
        <v>183</v>
      </c>
      <c r="H22" s="2213">
        <v>89.1</v>
      </c>
      <c r="I22" s="2213">
        <v>129</v>
      </c>
      <c r="J22" s="2213">
        <v>48.3</v>
      </c>
      <c r="K22" s="2213">
        <v>30.5</v>
      </c>
      <c r="L22" s="2213">
        <v>19.399999999999999</v>
      </c>
      <c r="M22" s="2213">
        <v>13.5</v>
      </c>
      <c r="N22" s="2217">
        <f t="shared" si="0"/>
        <v>63.083333333333321</v>
      </c>
    </row>
    <row r="23" spans="1:14">
      <c r="A23" s="2216">
        <v>2000</v>
      </c>
      <c r="B23" s="2213">
        <v>14.5</v>
      </c>
      <c r="C23" s="2213">
        <v>15.5</v>
      </c>
      <c r="D23" s="2213">
        <v>16.3</v>
      </c>
      <c r="E23" s="2213">
        <v>31.3</v>
      </c>
      <c r="F23" s="2213">
        <v>46.5</v>
      </c>
      <c r="G23" s="2213">
        <v>31.3</v>
      </c>
      <c r="H23" s="2213">
        <v>31.5</v>
      </c>
      <c r="I23" s="2213">
        <v>23.2</v>
      </c>
      <c r="J23" s="2213">
        <v>25.1</v>
      </c>
      <c r="K23" s="2213">
        <v>20.9</v>
      </c>
      <c r="L23" s="2213">
        <v>13.7</v>
      </c>
      <c r="M23" s="2213">
        <v>9.51</v>
      </c>
      <c r="N23" s="2217">
        <f t="shared" si="0"/>
        <v>23.275833333333328</v>
      </c>
    </row>
    <row r="24" spans="1:14">
      <c r="A24" s="2216">
        <v>2001</v>
      </c>
      <c r="B24" s="2213">
        <v>7.28</v>
      </c>
      <c r="C24" s="2213">
        <v>9.73</v>
      </c>
      <c r="D24" s="2213">
        <v>14.2</v>
      </c>
      <c r="E24" s="2213">
        <v>21.1</v>
      </c>
      <c r="F24" s="2213">
        <v>62.2</v>
      </c>
      <c r="G24" s="2213">
        <v>37</v>
      </c>
      <c r="H24" s="2213">
        <v>48.9</v>
      </c>
      <c r="I24" s="2213">
        <v>38.5</v>
      </c>
      <c r="J24" s="2213">
        <v>26.4</v>
      </c>
      <c r="K24" s="2213">
        <v>18.100000000000001</v>
      </c>
      <c r="L24" s="2213">
        <v>15</v>
      </c>
      <c r="M24" s="2213">
        <v>10</v>
      </c>
      <c r="N24" s="2217">
        <f t="shared" si="0"/>
        <v>25.700833333333335</v>
      </c>
    </row>
    <row r="25" spans="1:14">
      <c r="A25" s="2216">
        <v>2002</v>
      </c>
      <c r="B25" s="2213">
        <v>9.2200000000000006</v>
      </c>
      <c r="C25" s="2213">
        <v>8.67</v>
      </c>
      <c r="D25" s="2213">
        <v>10.4</v>
      </c>
      <c r="E25" s="2213">
        <v>13.8</v>
      </c>
      <c r="F25" s="2213">
        <v>12.1</v>
      </c>
      <c r="G25" s="2213">
        <v>10.8</v>
      </c>
      <c r="H25" s="2213">
        <v>5.36</v>
      </c>
      <c r="I25" s="2213">
        <v>8.25</v>
      </c>
      <c r="J25" s="2213">
        <v>9.67</v>
      </c>
      <c r="K25" s="2213">
        <v>9.6999999999999993</v>
      </c>
      <c r="L25" s="2213">
        <v>7.99</v>
      </c>
      <c r="M25" s="2213">
        <v>4.9000000000000004</v>
      </c>
      <c r="N25" s="2217">
        <f t="shared" si="0"/>
        <v>9.2383333333333351</v>
      </c>
    </row>
    <row r="26" spans="1:14">
      <c r="A26" s="2216">
        <v>2003</v>
      </c>
      <c r="B26" s="2213">
        <v>4.66</v>
      </c>
      <c r="C26" s="2213">
        <v>4.7300000000000004</v>
      </c>
      <c r="D26" s="2213">
        <v>12.4</v>
      </c>
      <c r="E26" s="2213">
        <v>83</v>
      </c>
      <c r="F26" s="2213">
        <v>91.4</v>
      </c>
      <c r="G26" s="2213">
        <v>89.6</v>
      </c>
      <c r="H26" s="2213">
        <v>41.3</v>
      </c>
      <c r="I26" s="2213">
        <v>25.1</v>
      </c>
      <c r="J26" s="2213">
        <v>30.6</v>
      </c>
      <c r="K26" s="2213">
        <v>19.2</v>
      </c>
      <c r="L26" s="2213">
        <v>16.3</v>
      </c>
      <c r="M26" s="2213">
        <v>14.6</v>
      </c>
      <c r="N26" s="2217">
        <f t="shared" si="0"/>
        <v>36.07416666666667</v>
      </c>
    </row>
    <row r="27" spans="1:14">
      <c r="A27" s="2216">
        <v>2004</v>
      </c>
      <c r="B27" s="2213">
        <v>13.6</v>
      </c>
      <c r="C27" s="2213">
        <v>12.4</v>
      </c>
      <c r="D27" s="2213">
        <v>14.7</v>
      </c>
      <c r="E27" s="2213">
        <v>33</v>
      </c>
      <c r="F27" s="2213">
        <v>51.6</v>
      </c>
      <c r="G27" s="2213">
        <v>39.1</v>
      </c>
      <c r="H27" s="2213">
        <v>81.7</v>
      </c>
      <c r="I27" s="2213">
        <v>64.400000000000006</v>
      </c>
      <c r="J27" s="2213">
        <v>30.6</v>
      </c>
      <c r="K27" s="2213">
        <v>34</v>
      </c>
      <c r="L27" s="2213">
        <v>24.1</v>
      </c>
      <c r="M27" s="2213">
        <v>21.3</v>
      </c>
      <c r="N27" s="2217">
        <f t="shared" si="0"/>
        <v>35.041666666666671</v>
      </c>
    </row>
    <row r="28" spans="1:14">
      <c r="A28" s="2216">
        <v>2005</v>
      </c>
      <c r="B28" s="2213">
        <v>18.399999999999999</v>
      </c>
      <c r="C28" s="2213">
        <v>16.399999999999999</v>
      </c>
      <c r="D28" s="2213">
        <v>16.600000000000001</v>
      </c>
      <c r="E28" s="2213">
        <v>48.3</v>
      </c>
      <c r="F28" s="2213">
        <v>103</v>
      </c>
      <c r="G28" s="2213">
        <v>80.900000000000006</v>
      </c>
      <c r="H28" s="2213">
        <v>41.2</v>
      </c>
      <c r="I28" s="2213">
        <v>35</v>
      </c>
      <c r="J28" s="2213">
        <v>20.8</v>
      </c>
      <c r="K28" s="2213">
        <v>19.100000000000001</v>
      </c>
      <c r="L28" s="2213">
        <v>14.1</v>
      </c>
      <c r="M28" s="2213">
        <v>11.4</v>
      </c>
      <c r="N28" s="2217">
        <f t="shared" si="0"/>
        <v>35.433333333333337</v>
      </c>
    </row>
    <row r="29" spans="1:14">
      <c r="A29" s="2216">
        <v>2006</v>
      </c>
      <c r="B29" s="2213">
        <v>11</v>
      </c>
      <c r="C29" s="2213">
        <v>11.1</v>
      </c>
      <c r="D29" s="2213">
        <v>12.9</v>
      </c>
      <c r="E29" s="2213">
        <v>16.5</v>
      </c>
      <c r="F29" s="2213">
        <v>20.399999999999999</v>
      </c>
      <c r="G29" s="2213">
        <v>13.3</v>
      </c>
      <c r="H29" s="2213">
        <v>49.8</v>
      </c>
      <c r="I29" s="2213">
        <v>30.8</v>
      </c>
      <c r="J29" s="2213">
        <v>23.3</v>
      </c>
      <c r="K29" s="2213">
        <v>19.3</v>
      </c>
      <c r="L29" s="2213">
        <v>18.100000000000001</v>
      </c>
      <c r="M29" s="2213">
        <v>16.2</v>
      </c>
      <c r="N29" s="2217">
        <f t="shared" si="0"/>
        <v>20.225000000000001</v>
      </c>
    </row>
    <row r="30" spans="1:14">
      <c r="A30" s="2216">
        <v>2007</v>
      </c>
      <c r="B30" s="2213">
        <v>15.9</v>
      </c>
      <c r="C30" s="2213">
        <v>16</v>
      </c>
      <c r="D30" s="2213">
        <v>36</v>
      </c>
      <c r="E30" s="2213">
        <v>64.400000000000006</v>
      </c>
      <c r="F30" s="2213">
        <v>182.5</v>
      </c>
      <c r="G30" s="2213">
        <v>148.4</v>
      </c>
      <c r="H30" s="2213">
        <v>65.400000000000006</v>
      </c>
      <c r="I30" s="2213">
        <v>58</v>
      </c>
      <c r="J30" s="2213">
        <v>33.4</v>
      </c>
      <c r="K30" s="2213">
        <v>23.5</v>
      </c>
      <c r="L30" s="2213">
        <v>20.100000000000001</v>
      </c>
      <c r="M30" s="2213">
        <v>17.2</v>
      </c>
      <c r="N30" s="2217">
        <f t="shared" si="0"/>
        <v>56.733333333333341</v>
      </c>
    </row>
    <row r="31" spans="1:14">
      <c r="A31" s="2216">
        <v>2008</v>
      </c>
      <c r="B31" s="2213">
        <v>13.5</v>
      </c>
      <c r="C31" s="2213">
        <v>11.1</v>
      </c>
      <c r="D31" s="2213">
        <v>15.2</v>
      </c>
      <c r="E31" s="2213">
        <v>20.7</v>
      </c>
      <c r="F31" s="2213">
        <v>50.7</v>
      </c>
      <c r="G31" s="2213">
        <v>58.8</v>
      </c>
      <c r="H31" s="2213">
        <v>33.6</v>
      </c>
      <c r="I31" s="2213">
        <v>28.4</v>
      </c>
      <c r="J31" s="2213">
        <v>21.1</v>
      </c>
      <c r="K31" s="2213">
        <v>17.8</v>
      </c>
      <c r="L31" s="2213">
        <v>14</v>
      </c>
      <c r="M31" s="2213">
        <v>13.2</v>
      </c>
      <c r="N31" s="2217">
        <f t="shared" si="0"/>
        <v>24.841666666666665</v>
      </c>
    </row>
    <row r="32" spans="1:14">
      <c r="A32" s="2216">
        <v>2009</v>
      </c>
      <c r="B32" s="2213">
        <v>12.7</v>
      </c>
      <c r="C32" s="2213">
        <v>12.8</v>
      </c>
      <c r="D32" s="2213">
        <v>11.1</v>
      </c>
      <c r="E32" s="2213">
        <v>22.8</v>
      </c>
      <c r="F32" s="2213">
        <v>53</v>
      </c>
      <c r="G32" s="2213">
        <v>63.9</v>
      </c>
      <c r="H32" s="2213">
        <v>41.8</v>
      </c>
      <c r="I32" s="2213">
        <v>22.2</v>
      </c>
      <c r="J32" s="2213">
        <v>18.600000000000001</v>
      </c>
      <c r="K32" s="2213">
        <v>16.600000000000001</v>
      </c>
      <c r="L32" s="2213">
        <v>12.6</v>
      </c>
      <c r="M32" s="2213">
        <v>11.1</v>
      </c>
      <c r="N32" s="2217">
        <f t="shared" si="0"/>
        <v>24.933333333333341</v>
      </c>
    </row>
    <row r="33" spans="1:14">
      <c r="A33" s="2216">
        <v>2010</v>
      </c>
      <c r="B33" s="2213">
        <v>10</v>
      </c>
      <c r="C33" s="2213">
        <v>8.9700000000000006</v>
      </c>
      <c r="D33" s="2213">
        <v>17.3</v>
      </c>
      <c r="E33" s="2213">
        <v>29.2</v>
      </c>
      <c r="F33" s="2213">
        <v>58.4</v>
      </c>
      <c r="G33" s="2213">
        <v>68.8</v>
      </c>
      <c r="H33" s="2213">
        <v>36.6</v>
      </c>
      <c r="I33" s="2213">
        <v>43</v>
      </c>
      <c r="J33" s="2213">
        <v>19.600000000000001</v>
      </c>
      <c r="K33" s="2213">
        <v>16.600000000000001</v>
      </c>
      <c r="L33" s="2213">
        <v>16.2</v>
      </c>
      <c r="M33" s="2213">
        <v>12.6</v>
      </c>
      <c r="N33" s="2217">
        <f t="shared" si="0"/>
        <v>28.105833333333337</v>
      </c>
    </row>
    <row r="34" spans="1:14">
      <c r="A34" s="2216">
        <v>2011</v>
      </c>
      <c r="B34" s="2213">
        <v>9.3699999999999992</v>
      </c>
      <c r="C34" s="2213">
        <v>11.1</v>
      </c>
      <c r="D34" s="2213">
        <v>10.4</v>
      </c>
      <c r="E34" s="2213">
        <v>12.7</v>
      </c>
      <c r="F34" s="2213">
        <v>24.1</v>
      </c>
      <c r="G34" s="2213">
        <v>37.200000000000003</v>
      </c>
      <c r="H34" s="2213">
        <v>47.5</v>
      </c>
      <c r="I34" s="2213">
        <v>27.8</v>
      </c>
      <c r="J34" s="2213">
        <v>20.7</v>
      </c>
      <c r="K34" s="2213">
        <v>16.3</v>
      </c>
      <c r="L34" s="2213">
        <v>15.6</v>
      </c>
      <c r="M34" s="2213">
        <v>15.6</v>
      </c>
      <c r="N34" s="2217">
        <f t="shared" si="0"/>
        <v>20.697500000000002</v>
      </c>
    </row>
    <row r="35" spans="1:14">
      <c r="A35" s="2216">
        <v>2012</v>
      </c>
      <c r="B35" s="2213">
        <v>15.3</v>
      </c>
      <c r="C35" s="2213">
        <v>14</v>
      </c>
      <c r="D35" s="2213">
        <v>14.3</v>
      </c>
      <c r="E35" s="2213">
        <v>16.899999999999999</v>
      </c>
      <c r="F35" s="2213">
        <v>18.399999999999999</v>
      </c>
      <c r="G35" s="2213">
        <v>10.4</v>
      </c>
      <c r="H35" s="2213">
        <v>20.6</v>
      </c>
      <c r="I35" s="2213">
        <v>21.7</v>
      </c>
      <c r="J35" s="2213">
        <v>15.9</v>
      </c>
      <c r="K35" s="2213">
        <v>14.1</v>
      </c>
      <c r="L35" s="2213">
        <v>14.9</v>
      </c>
      <c r="M35" s="2213">
        <v>8.9499999999999993</v>
      </c>
      <c r="N35" s="2217">
        <f t="shared" si="0"/>
        <v>15.454166666666666</v>
      </c>
    </row>
    <row r="36" spans="1:14">
      <c r="A36" s="2216">
        <v>2013</v>
      </c>
      <c r="B36" s="2213">
        <v>5.9</v>
      </c>
      <c r="C36" s="2213">
        <v>5.88</v>
      </c>
      <c r="D36" s="2213">
        <v>7.75</v>
      </c>
      <c r="E36" s="2213">
        <v>14</v>
      </c>
      <c r="F36" s="2213">
        <v>61</v>
      </c>
      <c r="G36" s="2213">
        <v>35</v>
      </c>
      <c r="H36" s="2213">
        <v>29.3</v>
      </c>
      <c r="I36" s="2213">
        <v>32.5</v>
      </c>
      <c r="J36" s="2213">
        <v>333.7</v>
      </c>
      <c r="K36" s="2213">
        <v>79.900000000000006</v>
      </c>
      <c r="L36" s="2213">
        <v>36.9</v>
      </c>
      <c r="M36" s="2213">
        <v>27.2</v>
      </c>
      <c r="N36" s="2217">
        <f t="shared" si="0"/>
        <v>55.752499999999998</v>
      </c>
    </row>
    <row r="37" spans="1:14">
      <c r="A37" s="2216">
        <v>2014</v>
      </c>
      <c r="B37" s="2213">
        <v>20.2</v>
      </c>
      <c r="C37" s="2213">
        <v>18.899999999999999</v>
      </c>
      <c r="D37" s="2213">
        <v>19.399999999999999</v>
      </c>
      <c r="E37" s="2213">
        <v>33.299999999999997</v>
      </c>
      <c r="F37" s="2213">
        <v>82.8</v>
      </c>
      <c r="G37" s="2213">
        <v>93.6</v>
      </c>
      <c r="H37" s="2213">
        <v>55.7</v>
      </c>
      <c r="I37" s="2213">
        <v>51.9</v>
      </c>
      <c r="J37" s="2213">
        <v>37.9</v>
      </c>
      <c r="K37" s="2213">
        <v>31</v>
      </c>
      <c r="L37" s="2213">
        <v>21.9</v>
      </c>
      <c r="M37" s="2213">
        <v>12.8</v>
      </c>
      <c r="N37" s="2217">
        <f t="shared" si="0"/>
        <v>39.949999999999989</v>
      </c>
    </row>
    <row r="38" spans="1:14">
      <c r="A38" s="2216">
        <v>2015</v>
      </c>
      <c r="B38" s="2213">
        <v>17.100000000000001</v>
      </c>
      <c r="C38" s="2213">
        <v>13.7</v>
      </c>
      <c r="D38" s="2213">
        <v>20.6</v>
      </c>
      <c r="E38" s="2213">
        <v>33.1</v>
      </c>
      <c r="F38" s="2213">
        <v>273.2</v>
      </c>
      <c r="G38" s="2213">
        <v>288.3</v>
      </c>
      <c r="H38" s="2213">
        <v>137.4</v>
      </c>
      <c r="I38" s="2213">
        <v>53.3</v>
      </c>
      <c r="J38" s="2213">
        <v>26.7</v>
      </c>
      <c r="K38" s="2213">
        <v>24.4</v>
      </c>
      <c r="L38" s="2213">
        <v>22.6</v>
      </c>
      <c r="M38" s="2213">
        <v>21.6</v>
      </c>
      <c r="N38" s="2217">
        <f t="shared" si="0"/>
        <v>77.666666666666671</v>
      </c>
    </row>
    <row r="39" spans="1:14">
      <c r="A39" s="2216">
        <v>2016</v>
      </c>
      <c r="B39" s="2213">
        <v>17.100000000000001</v>
      </c>
      <c r="C39" s="2213">
        <v>15.5</v>
      </c>
      <c r="D39" s="2213">
        <v>16.100000000000001</v>
      </c>
      <c r="E39" s="2213">
        <v>47.5</v>
      </c>
      <c r="F39" s="2213">
        <v>98.5</v>
      </c>
      <c r="G39" s="2213">
        <v>96.5</v>
      </c>
      <c r="H39" s="2213">
        <v>50.5</v>
      </c>
      <c r="I39" s="2213">
        <v>25.3</v>
      </c>
      <c r="J39" s="2213">
        <v>16.8</v>
      </c>
      <c r="K39" s="2213">
        <v>13.6</v>
      </c>
      <c r="L39" s="2213">
        <v>12.1</v>
      </c>
      <c r="M39" s="2213">
        <v>10.7</v>
      </c>
      <c r="N39" s="2217">
        <f t="shared" si="0"/>
        <v>35.016666666666673</v>
      </c>
    </row>
    <row r="40" spans="1:14">
      <c r="A40" s="2216">
        <v>2017</v>
      </c>
      <c r="B40" s="2213">
        <v>10.3</v>
      </c>
      <c r="C40" s="2213">
        <v>9.9700000000000006</v>
      </c>
      <c r="D40" s="2213">
        <v>12.6</v>
      </c>
      <c r="E40" s="2213">
        <v>17.5</v>
      </c>
      <c r="F40" s="2213">
        <v>37.700000000000003</v>
      </c>
      <c r="G40" s="2213">
        <v>63</v>
      </c>
      <c r="H40" s="2213">
        <v>44.4</v>
      </c>
      <c r="I40" s="2213">
        <v>40.799999999999997</v>
      </c>
      <c r="J40" s="2213">
        <v>26.4</v>
      </c>
      <c r="K40" s="2213">
        <v>32.1</v>
      </c>
      <c r="L40" s="2213">
        <v>21.3</v>
      </c>
      <c r="M40" s="2213">
        <v>11.7</v>
      </c>
      <c r="N40" s="2217">
        <f t="shared" si="0"/>
        <v>27.314166666666665</v>
      </c>
    </row>
    <row r="41" spans="1:14">
      <c r="A41" s="2216">
        <v>2018</v>
      </c>
      <c r="B41" s="2213">
        <v>10.3</v>
      </c>
      <c r="C41" s="2213">
        <v>13.2</v>
      </c>
      <c r="D41" s="2213">
        <v>13.9</v>
      </c>
      <c r="E41" s="2213">
        <v>13.9</v>
      </c>
      <c r="F41" s="2213">
        <v>26</v>
      </c>
      <c r="G41" s="2213">
        <v>17.899999999999999</v>
      </c>
      <c r="H41" s="2213">
        <v>13</v>
      </c>
      <c r="I41" s="2213">
        <v>9.0399999999999991</v>
      </c>
      <c r="J41" s="2213">
        <v>10.7</v>
      </c>
      <c r="K41" s="2213">
        <v>10.7</v>
      </c>
      <c r="L41" s="2213">
        <v>17.2</v>
      </c>
      <c r="M41" s="2213">
        <v>9.24</v>
      </c>
      <c r="N41" s="2217">
        <f t="shared" si="0"/>
        <v>13.756666666666666</v>
      </c>
    </row>
    <row r="42" spans="1:14">
      <c r="A42" s="2216">
        <v>2019</v>
      </c>
      <c r="B42" s="2213">
        <v>7.76</v>
      </c>
      <c r="C42" s="2213">
        <v>7.89</v>
      </c>
      <c r="D42" s="2213">
        <v>12</v>
      </c>
      <c r="E42" s="2213">
        <v>18.5</v>
      </c>
      <c r="F42" s="2213">
        <v>34.4</v>
      </c>
      <c r="G42" s="2213">
        <v>79.8</v>
      </c>
      <c r="H42" s="2213">
        <v>65.400000000000006</v>
      </c>
      <c r="I42" s="2213">
        <v>35.9</v>
      </c>
      <c r="J42" s="2213">
        <v>17.600000000000001</v>
      </c>
      <c r="K42" s="2213"/>
      <c r="L42" s="2213"/>
      <c r="M42" s="2213"/>
      <c r="N42" s="2217">
        <f t="shared" si="0"/>
        <v>31.027777777777779</v>
      </c>
    </row>
    <row r="43" spans="1:14">
      <c r="A43" s="2209" t="s">
        <v>1902</v>
      </c>
      <c r="B43" s="2277">
        <v>13</v>
      </c>
      <c r="C43" s="2277">
        <v>12</v>
      </c>
      <c r="D43" s="2277">
        <v>16</v>
      </c>
      <c r="E43" s="2277">
        <v>33</v>
      </c>
      <c r="F43" s="2277">
        <v>85</v>
      </c>
      <c r="G43" s="2277">
        <v>88</v>
      </c>
      <c r="H43" s="2277">
        <v>54</v>
      </c>
      <c r="I43" s="2277">
        <v>44</v>
      </c>
      <c r="J43" s="2277">
        <v>37</v>
      </c>
      <c r="K43" s="2277">
        <v>26</v>
      </c>
      <c r="L43" s="2277">
        <v>21</v>
      </c>
      <c r="M43" s="2277">
        <v>15</v>
      </c>
      <c r="N43" s="2210"/>
    </row>
    <row r="44" spans="1:14">
      <c r="A44" s="2214" t="s">
        <v>1903</v>
      </c>
      <c r="B44" s="2278"/>
      <c r="C44" s="2278"/>
      <c r="D44" s="2278"/>
      <c r="E44" s="2278"/>
      <c r="F44" s="2278"/>
      <c r="G44" s="2278"/>
      <c r="H44" s="2278"/>
      <c r="I44" s="2278"/>
      <c r="J44" s="2278"/>
      <c r="K44" s="2278"/>
      <c r="L44" s="2278"/>
      <c r="M44" s="2278"/>
      <c r="N44" s="2217">
        <f>AVERAGE(B43:M45)</f>
        <v>37</v>
      </c>
    </row>
    <row r="45" spans="1:14">
      <c r="A45" s="2215" t="s">
        <v>932</v>
      </c>
      <c r="B45" s="2288"/>
      <c r="C45" s="2278"/>
      <c r="D45" s="2278"/>
      <c r="E45" s="2278"/>
      <c r="F45" s="2278"/>
      <c r="G45" s="2278"/>
      <c r="H45" s="2278"/>
      <c r="I45" s="2278"/>
      <c r="J45" s="2278"/>
      <c r="K45" s="2278"/>
      <c r="L45" s="2278"/>
      <c r="M45" s="2278"/>
      <c r="N45" s="2211"/>
    </row>
    <row r="46" spans="1:14">
      <c r="A46" s="735" t="s">
        <v>79</v>
      </c>
      <c r="B46" s="736">
        <v>31</v>
      </c>
      <c r="C46" s="2218">
        <v>29</v>
      </c>
      <c r="D46" s="2218">
        <v>31</v>
      </c>
      <c r="E46" s="2218">
        <v>30</v>
      </c>
      <c r="F46" s="2218">
        <v>31</v>
      </c>
      <c r="G46" s="2218">
        <v>30</v>
      </c>
      <c r="H46" s="2218">
        <v>31</v>
      </c>
      <c r="I46" s="2218">
        <v>31</v>
      </c>
      <c r="J46" s="2218">
        <v>30</v>
      </c>
      <c r="K46" s="2218">
        <v>31</v>
      </c>
      <c r="L46" s="2218">
        <v>30</v>
      </c>
      <c r="M46" s="2218">
        <v>31</v>
      </c>
    </row>
    <row r="47" spans="1:14" s="1969" customFormat="1">
      <c r="A47" s="2275" t="s">
        <v>1907</v>
      </c>
      <c r="B47" s="2275"/>
      <c r="C47" s="2275"/>
      <c r="D47" s="2275"/>
      <c r="E47" s="2275"/>
      <c r="F47" s="2275"/>
      <c r="G47" s="2275"/>
      <c r="H47" s="2275"/>
      <c r="I47" s="2275"/>
      <c r="J47" s="2275"/>
      <c r="K47" s="2275"/>
      <c r="L47" s="2275"/>
      <c r="M47" s="2275"/>
    </row>
    <row r="48" spans="1:14">
      <c r="A48" s="2216">
        <v>1984</v>
      </c>
      <c r="B48">
        <f t="shared" ref="B48:M48" si="1">B7*1.983</f>
        <v>0</v>
      </c>
      <c r="C48" s="1969">
        <f t="shared" si="1"/>
        <v>0</v>
      </c>
      <c r="D48" s="1969">
        <f t="shared" si="1"/>
        <v>0</v>
      </c>
      <c r="E48" s="1969">
        <f t="shared" si="1"/>
        <v>0</v>
      </c>
      <c r="F48" s="1969">
        <f t="shared" si="1"/>
        <v>0</v>
      </c>
      <c r="G48" s="1969">
        <f t="shared" si="1"/>
        <v>0</v>
      </c>
      <c r="H48" s="1969">
        <f t="shared" si="1"/>
        <v>0</v>
      </c>
      <c r="I48" s="1969">
        <f t="shared" si="1"/>
        <v>0</v>
      </c>
      <c r="J48" s="1969">
        <f t="shared" si="1"/>
        <v>0</v>
      </c>
      <c r="K48" s="1969">
        <f t="shared" si="1"/>
        <v>168.7533</v>
      </c>
      <c r="L48" s="1969">
        <f t="shared" si="1"/>
        <v>111.44460000000001</v>
      </c>
      <c r="M48" s="1969">
        <f t="shared" si="1"/>
        <v>65.042400000000001</v>
      </c>
      <c r="N48" s="1969"/>
    </row>
    <row r="49" spans="1:14">
      <c r="A49" s="2216">
        <v>1985</v>
      </c>
      <c r="B49" s="1969">
        <f t="shared" ref="B49:M49" si="2">B8*1.983</f>
        <v>36.288900000000005</v>
      </c>
      <c r="C49" s="1969">
        <f t="shared" si="2"/>
        <v>29.150099999999998</v>
      </c>
      <c r="D49" s="1969">
        <f t="shared" si="2"/>
        <v>38.073599999999999</v>
      </c>
      <c r="E49" s="1969">
        <f t="shared" si="2"/>
        <v>73.172700000000006</v>
      </c>
      <c r="F49" s="1969">
        <f t="shared" si="2"/>
        <v>227.84670000000003</v>
      </c>
      <c r="G49" s="1969">
        <f t="shared" si="2"/>
        <v>205.83539999999999</v>
      </c>
      <c r="H49" s="1969">
        <f t="shared" si="2"/>
        <v>151.6995</v>
      </c>
      <c r="I49" s="1969">
        <f t="shared" si="2"/>
        <v>139.00829999999999</v>
      </c>
      <c r="J49" s="1969">
        <f t="shared" si="2"/>
        <v>72.181200000000004</v>
      </c>
      <c r="K49" s="1969">
        <f t="shared" si="2"/>
        <v>57.705300000000008</v>
      </c>
      <c r="L49" s="1969">
        <f t="shared" si="2"/>
        <v>37.875300000000003</v>
      </c>
      <c r="M49" s="1969">
        <f t="shared" si="2"/>
        <v>39.263400000000004</v>
      </c>
      <c r="N49" s="1969"/>
    </row>
    <row r="50" spans="1:14">
      <c r="A50" s="2216">
        <v>1986</v>
      </c>
      <c r="B50" s="1969">
        <f t="shared" ref="B50:M50" si="3">B9*1.983</f>
        <v>33.314400000000006</v>
      </c>
      <c r="C50" s="1969">
        <f t="shared" si="3"/>
        <v>32.917800000000007</v>
      </c>
      <c r="D50" s="1969">
        <f t="shared" si="3"/>
        <v>34.900800000000004</v>
      </c>
      <c r="E50" s="1969">
        <f t="shared" si="3"/>
        <v>68.810100000000006</v>
      </c>
      <c r="F50" s="1969">
        <f t="shared" si="3"/>
        <v>133.65420000000003</v>
      </c>
      <c r="G50" s="1969">
        <f t="shared" si="3"/>
        <v>224.2773</v>
      </c>
      <c r="H50" s="1969">
        <f t="shared" si="3"/>
        <v>141.58620000000002</v>
      </c>
      <c r="I50" s="1969">
        <f t="shared" si="3"/>
        <v>73.767600000000016</v>
      </c>
      <c r="J50" s="1969">
        <f t="shared" si="3"/>
        <v>56.713800000000006</v>
      </c>
      <c r="K50" s="1969">
        <f t="shared" si="3"/>
        <v>58.696800000000003</v>
      </c>
      <c r="L50" s="1969">
        <f t="shared" si="3"/>
        <v>46.203900000000004</v>
      </c>
      <c r="M50" s="1969">
        <f t="shared" si="3"/>
        <v>40.651499999999999</v>
      </c>
      <c r="N50" s="1969"/>
    </row>
    <row r="51" spans="1:14">
      <c r="A51" s="2216">
        <v>1987</v>
      </c>
      <c r="B51" s="1969">
        <f t="shared" ref="B51:M51" si="4">B10*1.983</f>
        <v>31.133099999999999</v>
      </c>
      <c r="C51" s="1969">
        <f t="shared" si="4"/>
        <v>24.985800000000001</v>
      </c>
      <c r="D51" s="1969">
        <f t="shared" si="4"/>
        <v>45.807300000000005</v>
      </c>
      <c r="E51" s="1969">
        <f t="shared" si="4"/>
        <v>177.8751</v>
      </c>
      <c r="F51" s="1969">
        <f t="shared" si="4"/>
        <v>456.48660000000001</v>
      </c>
      <c r="G51" s="1969">
        <f t="shared" si="4"/>
        <v>285.75029999999998</v>
      </c>
      <c r="H51" s="1969">
        <f t="shared" si="4"/>
        <v>132.66270000000003</v>
      </c>
      <c r="I51" s="1969">
        <f t="shared" si="4"/>
        <v>92.011200000000002</v>
      </c>
      <c r="J51" s="1969">
        <f t="shared" si="4"/>
        <v>65.042400000000001</v>
      </c>
      <c r="K51" s="1969">
        <f t="shared" si="4"/>
        <v>55.9206</v>
      </c>
      <c r="L51" s="1969">
        <f t="shared" si="4"/>
        <v>84.277500000000003</v>
      </c>
      <c r="M51" s="1969">
        <f t="shared" si="4"/>
        <v>32.5212</v>
      </c>
      <c r="N51" s="1969"/>
    </row>
    <row r="52" spans="1:14">
      <c r="A52" s="2216">
        <v>1988</v>
      </c>
      <c r="B52" s="1969">
        <f t="shared" ref="B52:M52" si="5">B11*1.983</f>
        <v>31.728000000000002</v>
      </c>
      <c r="C52" s="1969">
        <f t="shared" si="5"/>
        <v>27.762</v>
      </c>
      <c r="D52" s="1969">
        <f t="shared" si="5"/>
        <v>26.572200000000002</v>
      </c>
      <c r="E52" s="1969">
        <f t="shared" si="5"/>
        <v>87.648600000000016</v>
      </c>
      <c r="F52" s="1969">
        <f t="shared" si="5"/>
        <v>162.80429999999998</v>
      </c>
      <c r="G52" s="1969">
        <f t="shared" si="5"/>
        <v>197.9034</v>
      </c>
      <c r="H52" s="1969">
        <f t="shared" si="5"/>
        <v>116.60039999999999</v>
      </c>
      <c r="I52" s="1969">
        <f t="shared" si="5"/>
        <v>66.033900000000003</v>
      </c>
      <c r="J52" s="1969">
        <f t="shared" si="5"/>
        <v>70.79310000000001</v>
      </c>
      <c r="K52" s="1969">
        <f t="shared" si="5"/>
        <v>40.651499999999999</v>
      </c>
      <c r="L52" s="1969">
        <f t="shared" si="5"/>
        <v>32.719500000000004</v>
      </c>
      <c r="M52" s="1969">
        <f t="shared" si="5"/>
        <v>26.572200000000002</v>
      </c>
      <c r="N52" s="1969"/>
    </row>
    <row r="53" spans="1:14">
      <c r="A53" s="2216">
        <v>1989</v>
      </c>
      <c r="B53" s="1969">
        <f t="shared" ref="B53:M53" si="6">B12*1.983</f>
        <v>25.9773</v>
      </c>
      <c r="C53" s="1969">
        <f t="shared" si="6"/>
        <v>23.795999999999999</v>
      </c>
      <c r="D53" s="1969">
        <f t="shared" si="6"/>
        <v>25.5807</v>
      </c>
      <c r="E53" s="1969">
        <f t="shared" si="6"/>
        <v>42.237900000000003</v>
      </c>
      <c r="F53" s="1969">
        <f t="shared" si="6"/>
        <v>92.011200000000002</v>
      </c>
      <c r="G53" s="1969">
        <f t="shared" si="6"/>
        <v>147.73350000000002</v>
      </c>
      <c r="H53" s="1969">
        <f t="shared" si="6"/>
        <v>106.48710000000001</v>
      </c>
      <c r="I53" s="1969">
        <f t="shared" si="6"/>
        <v>88.640100000000004</v>
      </c>
      <c r="J53" s="1969">
        <f t="shared" si="6"/>
        <v>58.4985</v>
      </c>
      <c r="K53" s="1969">
        <f t="shared" si="6"/>
        <v>41.643000000000001</v>
      </c>
      <c r="L53" s="1969">
        <f t="shared" si="6"/>
        <v>41.841300000000004</v>
      </c>
      <c r="M53" s="1969">
        <f t="shared" si="6"/>
        <v>27.365400000000001</v>
      </c>
      <c r="N53" s="1969"/>
    </row>
    <row r="54" spans="1:14">
      <c r="A54" s="2216">
        <v>1990</v>
      </c>
      <c r="B54" s="1969">
        <f t="shared" ref="B54:M54" si="7">B13*1.983</f>
        <v>20.623200000000001</v>
      </c>
      <c r="C54" s="1969">
        <f t="shared" si="7"/>
        <v>17.628870000000003</v>
      </c>
      <c r="D54" s="1969">
        <f t="shared" si="7"/>
        <v>28.753500000000003</v>
      </c>
      <c r="E54" s="1969">
        <f t="shared" si="7"/>
        <v>81.302999999999997</v>
      </c>
      <c r="F54" s="1969">
        <f t="shared" si="7"/>
        <v>122.74770000000001</v>
      </c>
      <c r="G54" s="1969">
        <f t="shared" si="7"/>
        <v>98.753399999999999</v>
      </c>
      <c r="H54" s="1969">
        <f t="shared" si="7"/>
        <v>102.5211</v>
      </c>
      <c r="I54" s="1969">
        <f t="shared" si="7"/>
        <v>105.099</v>
      </c>
      <c r="J54" s="1969">
        <f t="shared" si="7"/>
        <v>92.209500000000006</v>
      </c>
      <c r="K54" s="1969">
        <f t="shared" si="7"/>
        <v>68.215199999999996</v>
      </c>
      <c r="L54" s="1969">
        <f t="shared" si="7"/>
        <v>52.351199999999999</v>
      </c>
      <c r="M54" s="1969">
        <f t="shared" si="7"/>
        <v>29.150099999999998</v>
      </c>
      <c r="N54" s="1969"/>
    </row>
    <row r="55" spans="1:14">
      <c r="A55" s="2216">
        <v>1991</v>
      </c>
      <c r="B55" s="1969">
        <f t="shared" ref="B55:M55" si="8">B14*1.983</f>
        <v>22.209599999999998</v>
      </c>
      <c r="C55" s="1969">
        <f t="shared" si="8"/>
        <v>19.552379999999999</v>
      </c>
      <c r="D55" s="1969">
        <f t="shared" si="8"/>
        <v>21.416400000000003</v>
      </c>
      <c r="E55" s="1969">
        <f t="shared" si="8"/>
        <v>27.563700000000001</v>
      </c>
      <c r="F55" s="1969">
        <f t="shared" si="8"/>
        <v>136.43039999999999</v>
      </c>
      <c r="G55" s="1969">
        <f t="shared" si="8"/>
        <v>248.27160000000001</v>
      </c>
      <c r="H55" s="1969">
        <f t="shared" si="8"/>
        <v>127.5069</v>
      </c>
      <c r="I55" s="1969">
        <f t="shared" si="8"/>
        <v>173.11590000000001</v>
      </c>
      <c r="J55" s="1969">
        <f t="shared" si="8"/>
        <v>99.348300000000009</v>
      </c>
      <c r="K55" s="1969">
        <f t="shared" si="8"/>
        <v>56.3172</v>
      </c>
      <c r="L55" s="1969">
        <f t="shared" si="8"/>
        <v>45.014099999999999</v>
      </c>
      <c r="M55" s="1969">
        <f t="shared" si="8"/>
        <v>36.090600000000002</v>
      </c>
      <c r="N55" s="1969"/>
    </row>
    <row r="56" spans="1:14">
      <c r="A56" s="2216">
        <v>1992</v>
      </c>
      <c r="B56" s="1969">
        <f t="shared" ref="B56:M56" si="9">B15*1.983</f>
        <v>32.719500000000004</v>
      </c>
      <c r="C56" s="1969">
        <f t="shared" si="9"/>
        <v>34.702500000000001</v>
      </c>
      <c r="D56" s="1969">
        <f t="shared" si="9"/>
        <v>52.946100000000001</v>
      </c>
      <c r="E56" s="1969">
        <f t="shared" si="9"/>
        <v>110.6514</v>
      </c>
      <c r="F56" s="1969">
        <f t="shared" si="9"/>
        <v>121.16130000000001</v>
      </c>
      <c r="G56" s="1969">
        <f t="shared" si="9"/>
        <v>116.997</v>
      </c>
      <c r="H56" s="1969">
        <f t="shared" si="9"/>
        <v>77.337000000000003</v>
      </c>
      <c r="I56" s="1969">
        <f t="shared" si="9"/>
        <v>61.869599999999998</v>
      </c>
      <c r="J56" s="1969">
        <f t="shared" si="9"/>
        <v>41.444699999999997</v>
      </c>
      <c r="K56" s="1969">
        <f t="shared" si="9"/>
        <v>33.314400000000006</v>
      </c>
      <c r="L56" s="1969">
        <f t="shared" si="9"/>
        <v>19.135950000000001</v>
      </c>
      <c r="M56" s="1969">
        <f t="shared" si="9"/>
        <v>22.209599999999998</v>
      </c>
      <c r="N56" s="1969"/>
    </row>
    <row r="57" spans="1:14">
      <c r="A57" s="2216">
        <v>1993</v>
      </c>
      <c r="B57" s="1969">
        <f t="shared" ref="B57:M57" si="10">B16*1.983</f>
        <v>21.614700000000003</v>
      </c>
      <c r="C57" s="1969">
        <f t="shared" si="10"/>
        <v>22.011300000000002</v>
      </c>
      <c r="D57" s="1969">
        <f t="shared" si="10"/>
        <v>23.2011</v>
      </c>
      <c r="E57" s="1969">
        <f t="shared" si="10"/>
        <v>42.237900000000003</v>
      </c>
      <c r="F57" s="1969">
        <f t="shared" si="10"/>
        <v>87.450300000000013</v>
      </c>
      <c r="G57" s="1969">
        <f t="shared" si="10"/>
        <v>104.1075</v>
      </c>
      <c r="H57" s="1969">
        <f t="shared" si="10"/>
        <v>71.388000000000005</v>
      </c>
      <c r="I57" s="1969">
        <f t="shared" si="10"/>
        <v>46.997100000000003</v>
      </c>
      <c r="J57" s="1969">
        <f t="shared" si="10"/>
        <v>40.849800000000002</v>
      </c>
      <c r="K57" s="1969">
        <f t="shared" si="10"/>
        <v>34.107599999999998</v>
      </c>
      <c r="L57" s="1969">
        <f t="shared" si="10"/>
        <v>29.745000000000001</v>
      </c>
      <c r="M57" s="1969">
        <f t="shared" si="10"/>
        <v>21.0198</v>
      </c>
      <c r="N57" s="1969"/>
    </row>
    <row r="58" spans="1:14">
      <c r="A58" s="2216">
        <v>1994</v>
      </c>
      <c r="B58" s="1969">
        <f t="shared" ref="B58:M58" si="11">B17*1.983</f>
        <v>19.15578</v>
      </c>
      <c r="C58" s="1969">
        <f t="shared" si="11"/>
        <v>17.212440000000001</v>
      </c>
      <c r="D58" s="1969">
        <f t="shared" si="11"/>
        <v>26.572200000000002</v>
      </c>
      <c r="E58" s="1969">
        <f t="shared" si="11"/>
        <v>51.1614</v>
      </c>
      <c r="F58" s="1969">
        <f t="shared" si="11"/>
        <v>152.2944</v>
      </c>
      <c r="G58" s="1969">
        <f t="shared" si="11"/>
        <v>92.606100000000012</v>
      </c>
      <c r="H58" s="1969">
        <f t="shared" si="11"/>
        <v>54.532500000000006</v>
      </c>
      <c r="I58" s="1969">
        <f t="shared" si="11"/>
        <v>39.858300000000007</v>
      </c>
      <c r="J58" s="1969">
        <f t="shared" si="11"/>
        <v>34.107599999999998</v>
      </c>
      <c r="K58" s="1969">
        <f t="shared" si="11"/>
        <v>31.728000000000002</v>
      </c>
      <c r="L58" s="1969">
        <f t="shared" si="11"/>
        <v>29.546700000000001</v>
      </c>
      <c r="M58" s="1969">
        <f t="shared" si="11"/>
        <v>17.192610000000002</v>
      </c>
      <c r="N58" s="1969"/>
    </row>
    <row r="59" spans="1:14">
      <c r="A59" s="2216">
        <v>1995</v>
      </c>
      <c r="B59" s="1969">
        <f t="shared" ref="B59:M59" si="12">B18*1.983</f>
        <v>17.847000000000001</v>
      </c>
      <c r="C59" s="1969">
        <f t="shared" si="12"/>
        <v>20.028300000000002</v>
      </c>
      <c r="D59" s="1969">
        <f t="shared" si="12"/>
        <v>18.977310000000003</v>
      </c>
      <c r="E59" s="1969">
        <f t="shared" si="12"/>
        <v>41.643000000000001</v>
      </c>
      <c r="F59" s="1969">
        <f t="shared" si="12"/>
        <v>313.7106</v>
      </c>
      <c r="G59" s="1969">
        <f t="shared" si="12"/>
        <v>554.44680000000005</v>
      </c>
      <c r="H59" s="1969">
        <f t="shared" si="12"/>
        <v>266.31690000000003</v>
      </c>
      <c r="I59" s="1969">
        <f t="shared" si="12"/>
        <v>120.7647</v>
      </c>
      <c r="J59" s="1969">
        <f t="shared" si="12"/>
        <v>83.484300000000005</v>
      </c>
      <c r="K59" s="1969">
        <f t="shared" si="12"/>
        <v>57.308700000000002</v>
      </c>
      <c r="L59" s="1969">
        <f t="shared" si="12"/>
        <v>51.756300000000003</v>
      </c>
      <c r="M59" s="1969">
        <f t="shared" si="12"/>
        <v>47.988599999999998</v>
      </c>
      <c r="N59" s="1969"/>
    </row>
    <row r="60" spans="1:14">
      <c r="A60" s="2216">
        <v>1996</v>
      </c>
      <c r="B60" s="1969">
        <f t="shared" ref="B60:M60" si="13">B19*1.983</f>
        <v>37.082099999999997</v>
      </c>
      <c r="C60" s="1969">
        <f t="shared" si="13"/>
        <v>36.090600000000002</v>
      </c>
      <c r="D60" s="1969">
        <f t="shared" si="13"/>
        <v>36.487200000000001</v>
      </c>
      <c r="E60" s="1969">
        <f t="shared" si="13"/>
        <v>46.997100000000003</v>
      </c>
      <c r="F60" s="1969">
        <f t="shared" si="13"/>
        <v>106.8837</v>
      </c>
      <c r="G60" s="1969">
        <f t="shared" si="13"/>
        <v>137.8185</v>
      </c>
      <c r="H60" s="1969">
        <f t="shared" si="13"/>
        <v>81.104699999999994</v>
      </c>
      <c r="I60" s="1969">
        <f t="shared" si="13"/>
        <v>53.342700000000001</v>
      </c>
      <c r="J60" s="1969">
        <f t="shared" si="13"/>
        <v>48.781800000000004</v>
      </c>
      <c r="K60" s="1969">
        <f t="shared" si="13"/>
        <v>42.634500000000003</v>
      </c>
      <c r="L60" s="1969">
        <f t="shared" si="13"/>
        <v>37.478699999999996</v>
      </c>
      <c r="M60" s="1969">
        <f t="shared" si="13"/>
        <v>23.795999999999999</v>
      </c>
      <c r="N60" s="1969"/>
    </row>
    <row r="61" spans="1:14">
      <c r="A61" s="2216">
        <v>1997</v>
      </c>
      <c r="B61" s="1969">
        <f t="shared" ref="B61:M61" si="14">B20*1.983</f>
        <v>22.209599999999998</v>
      </c>
      <c r="C61" s="1969">
        <f t="shared" si="14"/>
        <v>20.028300000000002</v>
      </c>
      <c r="D61" s="1969">
        <f t="shared" si="14"/>
        <v>26.770500000000002</v>
      </c>
      <c r="E61" s="1969">
        <f t="shared" si="14"/>
        <v>61.274700000000003</v>
      </c>
      <c r="F61" s="1969">
        <f t="shared" si="14"/>
        <v>178.07339999999999</v>
      </c>
      <c r="G61" s="1969">
        <f t="shared" si="14"/>
        <v>348.21480000000003</v>
      </c>
      <c r="H61" s="1969">
        <f t="shared" si="14"/>
        <v>124.33410000000001</v>
      </c>
      <c r="I61" s="1969">
        <f t="shared" si="14"/>
        <v>160.02810000000002</v>
      </c>
      <c r="J61" s="1969">
        <f t="shared" si="14"/>
        <v>107.47860000000001</v>
      </c>
      <c r="K61" s="1969">
        <f t="shared" si="14"/>
        <v>69.206699999999998</v>
      </c>
      <c r="L61" s="1969">
        <f t="shared" si="14"/>
        <v>58.696800000000003</v>
      </c>
      <c r="M61" s="1969">
        <f t="shared" si="14"/>
        <v>47.393700000000003</v>
      </c>
      <c r="N61" s="1969"/>
    </row>
    <row r="62" spans="1:14">
      <c r="A62" s="2216">
        <v>1998</v>
      </c>
      <c r="B62" s="1969">
        <f t="shared" ref="B62:M62" si="15">B21*1.983</f>
        <v>38.866800000000005</v>
      </c>
      <c r="C62" s="1969">
        <f t="shared" si="15"/>
        <v>34.702500000000001</v>
      </c>
      <c r="D62" s="1969">
        <f t="shared" si="15"/>
        <v>51.756300000000003</v>
      </c>
      <c r="E62" s="1969">
        <f t="shared" si="15"/>
        <v>161.41620000000003</v>
      </c>
      <c r="F62" s="1969">
        <f t="shared" si="15"/>
        <v>472.35059999999999</v>
      </c>
      <c r="G62" s="1969">
        <f t="shared" si="15"/>
        <v>259.77300000000002</v>
      </c>
      <c r="H62" s="1969">
        <f t="shared" si="15"/>
        <v>168.95160000000001</v>
      </c>
      <c r="I62" s="1969">
        <f t="shared" si="15"/>
        <v>210.19800000000001</v>
      </c>
      <c r="J62" s="1969">
        <f t="shared" si="15"/>
        <v>94.985700000000008</v>
      </c>
      <c r="K62" s="1969">
        <f t="shared" si="15"/>
        <v>58.300199999999997</v>
      </c>
      <c r="L62" s="1969">
        <f t="shared" si="15"/>
        <v>44.419199999999996</v>
      </c>
      <c r="M62" s="1969">
        <f t="shared" si="15"/>
        <v>33.116100000000003</v>
      </c>
      <c r="N62" s="1969"/>
    </row>
    <row r="63" spans="1:14">
      <c r="A63" s="2216">
        <v>1999</v>
      </c>
      <c r="B63" s="1969">
        <f t="shared" ref="B63:M63" si="16">B22*1.983</f>
        <v>28.555200000000003</v>
      </c>
      <c r="C63" s="1969">
        <f t="shared" si="16"/>
        <v>22.804500000000001</v>
      </c>
      <c r="D63" s="1969">
        <f t="shared" si="16"/>
        <v>29.150099999999998</v>
      </c>
      <c r="E63" s="1969">
        <f t="shared" si="16"/>
        <v>47.790300000000002</v>
      </c>
      <c r="F63" s="1969">
        <f t="shared" si="16"/>
        <v>355.94850000000002</v>
      </c>
      <c r="G63" s="1969">
        <f t="shared" si="16"/>
        <v>362.88900000000001</v>
      </c>
      <c r="H63" s="1969">
        <f t="shared" si="16"/>
        <v>176.68529999999998</v>
      </c>
      <c r="I63" s="1969">
        <f t="shared" si="16"/>
        <v>255.80700000000002</v>
      </c>
      <c r="J63" s="1969">
        <f t="shared" si="16"/>
        <v>95.778899999999993</v>
      </c>
      <c r="K63" s="1969">
        <f t="shared" si="16"/>
        <v>60.481500000000004</v>
      </c>
      <c r="L63" s="1969">
        <f t="shared" si="16"/>
        <v>38.470199999999998</v>
      </c>
      <c r="M63" s="1969">
        <f t="shared" si="16"/>
        <v>26.770500000000002</v>
      </c>
      <c r="N63" s="1969"/>
    </row>
    <row r="64" spans="1:14">
      <c r="A64" s="2216">
        <v>2000</v>
      </c>
      <c r="B64" s="1969">
        <f t="shared" ref="B64:M64" si="17">B23*1.983</f>
        <v>28.753500000000003</v>
      </c>
      <c r="C64" s="1969">
        <f t="shared" si="17"/>
        <v>30.736500000000003</v>
      </c>
      <c r="D64" s="1969">
        <f t="shared" si="17"/>
        <v>32.322900000000004</v>
      </c>
      <c r="E64" s="1969">
        <f t="shared" si="17"/>
        <v>62.067900000000002</v>
      </c>
      <c r="F64" s="1969">
        <f t="shared" si="17"/>
        <v>92.209500000000006</v>
      </c>
      <c r="G64" s="1969">
        <f t="shared" si="17"/>
        <v>62.067900000000002</v>
      </c>
      <c r="H64" s="1969">
        <f t="shared" si="17"/>
        <v>62.464500000000001</v>
      </c>
      <c r="I64" s="1969">
        <f t="shared" si="17"/>
        <v>46.005600000000001</v>
      </c>
      <c r="J64" s="1969">
        <f t="shared" si="17"/>
        <v>49.773300000000006</v>
      </c>
      <c r="K64" s="1969">
        <f t="shared" si="17"/>
        <v>41.444699999999997</v>
      </c>
      <c r="L64" s="1969">
        <f t="shared" si="17"/>
        <v>27.167100000000001</v>
      </c>
      <c r="M64" s="1969">
        <f t="shared" si="17"/>
        <v>18.858330000000002</v>
      </c>
      <c r="N64" s="1969"/>
    </row>
    <row r="65" spans="1:14">
      <c r="A65" s="2216">
        <v>2001</v>
      </c>
      <c r="B65" s="1969">
        <f t="shared" ref="B65:M65" si="18">B24*1.983</f>
        <v>14.436240000000002</v>
      </c>
      <c r="C65" s="1969">
        <f t="shared" si="18"/>
        <v>19.294590000000003</v>
      </c>
      <c r="D65" s="1969">
        <f t="shared" si="18"/>
        <v>28.1586</v>
      </c>
      <c r="E65" s="1969">
        <f t="shared" si="18"/>
        <v>41.841300000000004</v>
      </c>
      <c r="F65" s="1969">
        <f t="shared" si="18"/>
        <v>123.34260000000002</v>
      </c>
      <c r="G65" s="1969">
        <f t="shared" si="18"/>
        <v>73.371000000000009</v>
      </c>
      <c r="H65" s="1969">
        <f t="shared" si="18"/>
        <v>96.968699999999998</v>
      </c>
      <c r="I65" s="1969">
        <f t="shared" si="18"/>
        <v>76.345500000000001</v>
      </c>
      <c r="J65" s="1969">
        <f t="shared" si="18"/>
        <v>52.351199999999999</v>
      </c>
      <c r="K65" s="1969">
        <f t="shared" si="18"/>
        <v>35.892300000000006</v>
      </c>
      <c r="L65" s="1969">
        <f t="shared" si="18"/>
        <v>29.745000000000001</v>
      </c>
      <c r="M65" s="1969">
        <f t="shared" si="18"/>
        <v>19.830000000000002</v>
      </c>
      <c r="N65" s="1969"/>
    </row>
    <row r="66" spans="1:14">
      <c r="A66" s="2216">
        <v>2002</v>
      </c>
      <c r="B66" s="1969">
        <f t="shared" ref="B66:M66" si="19">B25*1.983</f>
        <v>18.283260000000002</v>
      </c>
      <c r="C66" s="1969">
        <f t="shared" si="19"/>
        <v>17.192610000000002</v>
      </c>
      <c r="D66" s="1969">
        <f t="shared" si="19"/>
        <v>20.623200000000001</v>
      </c>
      <c r="E66" s="1969">
        <f t="shared" si="19"/>
        <v>27.365400000000001</v>
      </c>
      <c r="F66" s="1969">
        <f t="shared" si="19"/>
        <v>23.994299999999999</v>
      </c>
      <c r="G66" s="1969">
        <f t="shared" si="19"/>
        <v>21.416400000000003</v>
      </c>
      <c r="H66" s="1969">
        <f t="shared" si="19"/>
        <v>10.628880000000001</v>
      </c>
      <c r="I66" s="1969">
        <f t="shared" si="19"/>
        <v>16.359750000000002</v>
      </c>
      <c r="J66" s="1969">
        <f t="shared" si="19"/>
        <v>19.175610000000002</v>
      </c>
      <c r="K66" s="1969">
        <f t="shared" si="19"/>
        <v>19.235099999999999</v>
      </c>
      <c r="L66" s="1969">
        <f t="shared" si="19"/>
        <v>15.844170000000002</v>
      </c>
      <c r="M66" s="1969">
        <f t="shared" si="19"/>
        <v>9.7167000000000012</v>
      </c>
      <c r="N66" s="1969"/>
    </row>
    <row r="67" spans="1:14">
      <c r="A67" s="2216">
        <v>2003</v>
      </c>
      <c r="B67" s="1969">
        <f t="shared" ref="B67:M67" si="20">B26*1.983</f>
        <v>9.2407800000000009</v>
      </c>
      <c r="C67" s="1969">
        <f t="shared" si="20"/>
        <v>9.3795900000000021</v>
      </c>
      <c r="D67" s="1969">
        <f t="shared" si="20"/>
        <v>24.589200000000002</v>
      </c>
      <c r="E67" s="1969">
        <f t="shared" si="20"/>
        <v>164.589</v>
      </c>
      <c r="F67" s="1969">
        <f t="shared" si="20"/>
        <v>181.24620000000002</v>
      </c>
      <c r="G67" s="1969">
        <f t="shared" si="20"/>
        <v>177.67679999999999</v>
      </c>
      <c r="H67" s="1969">
        <f t="shared" si="20"/>
        <v>81.897899999999993</v>
      </c>
      <c r="I67" s="1969">
        <f t="shared" si="20"/>
        <v>49.773300000000006</v>
      </c>
      <c r="J67" s="1969">
        <f t="shared" si="20"/>
        <v>60.679800000000007</v>
      </c>
      <c r="K67" s="1969">
        <f t="shared" si="20"/>
        <v>38.073599999999999</v>
      </c>
      <c r="L67" s="1969">
        <f t="shared" si="20"/>
        <v>32.322900000000004</v>
      </c>
      <c r="M67" s="1969">
        <f t="shared" si="20"/>
        <v>28.951800000000002</v>
      </c>
      <c r="N67" s="1969"/>
    </row>
    <row r="68" spans="1:14">
      <c r="A68" s="2216">
        <v>2004</v>
      </c>
      <c r="B68" s="1969">
        <f t="shared" ref="B68:M68" si="21">B27*1.983</f>
        <v>26.968800000000002</v>
      </c>
      <c r="C68" s="1969">
        <f t="shared" si="21"/>
        <v>24.589200000000002</v>
      </c>
      <c r="D68" s="1969">
        <f t="shared" si="21"/>
        <v>29.150099999999998</v>
      </c>
      <c r="E68" s="1969">
        <f t="shared" si="21"/>
        <v>65.439000000000007</v>
      </c>
      <c r="F68" s="1969">
        <f t="shared" si="21"/>
        <v>102.3228</v>
      </c>
      <c r="G68" s="1969">
        <f t="shared" si="21"/>
        <v>77.535300000000007</v>
      </c>
      <c r="H68" s="1969">
        <f t="shared" si="21"/>
        <v>162.01110000000003</v>
      </c>
      <c r="I68" s="1969">
        <f t="shared" si="21"/>
        <v>127.70520000000002</v>
      </c>
      <c r="J68" s="1969">
        <f t="shared" si="21"/>
        <v>60.679800000000007</v>
      </c>
      <c r="K68" s="1969">
        <f t="shared" si="21"/>
        <v>67.421999999999997</v>
      </c>
      <c r="L68" s="1969">
        <f t="shared" si="21"/>
        <v>47.790300000000002</v>
      </c>
      <c r="M68" s="1969">
        <f t="shared" si="21"/>
        <v>42.237900000000003</v>
      </c>
      <c r="N68" s="1969"/>
    </row>
    <row r="69" spans="1:14">
      <c r="A69" s="2216">
        <v>2005</v>
      </c>
      <c r="B69" s="1969">
        <f t="shared" ref="B69:M69" si="22">B28*1.983</f>
        <v>36.487200000000001</v>
      </c>
      <c r="C69" s="1969">
        <f t="shared" si="22"/>
        <v>32.5212</v>
      </c>
      <c r="D69" s="1969">
        <f t="shared" si="22"/>
        <v>32.917800000000007</v>
      </c>
      <c r="E69" s="1969">
        <f t="shared" si="22"/>
        <v>95.778899999999993</v>
      </c>
      <c r="F69" s="1969">
        <f t="shared" si="22"/>
        <v>204.24900000000002</v>
      </c>
      <c r="G69" s="1969">
        <f t="shared" si="22"/>
        <v>160.42470000000003</v>
      </c>
      <c r="H69" s="1969">
        <f t="shared" si="22"/>
        <v>81.699600000000004</v>
      </c>
      <c r="I69" s="1969">
        <f t="shared" si="22"/>
        <v>69.405000000000001</v>
      </c>
      <c r="J69" s="1969">
        <f t="shared" si="22"/>
        <v>41.246400000000001</v>
      </c>
      <c r="K69" s="1969">
        <f t="shared" si="22"/>
        <v>37.875300000000003</v>
      </c>
      <c r="L69" s="1969">
        <f t="shared" si="22"/>
        <v>27.9603</v>
      </c>
      <c r="M69" s="1969">
        <f t="shared" si="22"/>
        <v>22.606200000000001</v>
      </c>
      <c r="N69" s="1969"/>
    </row>
    <row r="70" spans="1:14">
      <c r="A70" s="2216">
        <v>2006</v>
      </c>
      <c r="B70" s="1969">
        <f t="shared" ref="B70:M70" si="23">B29*1.983</f>
        <v>21.813000000000002</v>
      </c>
      <c r="C70" s="1969">
        <f t="shared" si="23"/>
        <v>22.011300000000002</v>
      </c>
      <c r="D70" s="1969">
        <f t="shared" si="23"/>
        <v>25.5807</v>
      </c>
      <c r="E70" s="1969">
        <f t="shared" si="23"/>
        <v>32.719500000000004</v>
      </c>
      <c r="F70" s="1969">
        <f t="shared" si="23"/>
        <v>40.453200000000002</v>
      </c>
      <c r="G70" s="1969">
        <f t="shared" si="23"/>
        <v>26.373900000000003</v>
      </c>
      <c r="H70" s="1969">
        <f t="shared" si="23"/>
        <v>98.753399999999999</v>
      </c>
      <c r="I70" s="1969">
        <f t="shared" si="23"/>
        <v>61.076400000000007</v>
      </c>
      <c r="J70" s="1969">
        <f t="shared" si="23"/>
        <v>46.203900000000004</v>
      </c>
      <c r="K70" s="1969">
        <f t="shared" si="23"/>
        <v>38.271900000000002</v>
      </c>
      <c r="L70" s="1969">
        <f t="shared" si="23"/>
        <v>35.892300000000006</v>
      </c>
      <c r="M70" s="1969">
        <f t="shared" si="23"/>
        <v>32.124600000000001</v>
      </c>
      <c r="N70" s="1969"/>
    </row>
    <row r="71" spans="1:14">
      <c r="A71" s="2216">
        <v>2007</v>
      </c>
      <c r="B71" s="1969">
        <f t="shared" ref="B71:M71" si="24">B30*1.983</f>
        <v>31.529700000000002</v>
      </c>
      <c r="C71" s="1969">
        <f t="shared" si="24"/>
        <v>31.728000000000002</v>
      </c>
      <c r="D71" s="1969">
        <f t="shared" si="24"/>
        <v>71.388000000000005</v>
      </c>
      <c r="E71" s="1969">
        <f t="shared" si="24"/>
        <v>127.70520000000002</v>
      </c>
      <c r="F71" s="1969">
        <f t="shared" si="24"/>
        <v>361.89750000000004</v>
      </c>
      <c r="G71" s="1969">
        <f t="shared" si="24"/>
        <v>294.27720000000005</v>
      </c>
      <c r="H71" s="1969">
        <f t="shared" si="24"/>
        <v>129.68820000000002</v>
      </c>
      <c r="I71" s="1969">
        <f t="shared" si="24"/>
        <v>115.01400000000001</v>
      </c>
      <c r="J71" s="1969">
        <f t="shared" si="24"/>
        <v>66.232200000000006</v>
      </c>
      <c r="K71" s="1969">
        <f t="shared" si="24"/>
        <v>46.600500000000004</v>
      </c>
      <c r="L71" s="1969">
        <f t="shared" si="24"/>
        <v>39.858300000000007</v>
      </c>
      <c r="M71" s="1969">
        <f t="shared" si="24"/>
        <v>34.107599999999998</v>
      </c>
      <c r="N71" s="1969"/>
    </row>
    <row r="72" spans="1:14">
      <c r="A72" s="2216">
        <v>2008</v>
      </c>
      <c r="B72" s="1969">
        <f t="shared" ref="B72:M72" si="25">B31*1.983</f>
        <v>26.770500000000002</v>
      </c>
      <c r="C72" s="1969">
        <f t="shared" si="25"/>
        <v>22.011300000000002</v>
      </c>
      <c r="D72" s="1969">
        <f t="shared" si="25"/>
        <v>30.1416</v>
      </c>
      <c r="E72" s="1969">
        <f t="shared" si="25"/>
        <v>41.048099999999998</v>
      </c>
      <c r="F72" s="1969">
        <f t="shared" si="25"/>
        <v>100.53810000000001</v>
      </c>
      <c r="G72" s="1969">
        <f t="shared" si="25"/>
        <v>116.60039999999999</v>
      </c>
      <c r="H72" s="1969">
        <f t="shared" si="25"/>
        <v>66.628800000000012</v>
      </c>
      <c r="I72" s="1969">
        <f t="shared" si="25"/>
        <v>56.3172</v>
      </c>
      <c r="J72" s="1969">
        <f t="shared" si="25"/>
        <v>41.841300000000004</v>
      </c>
      <c r="K72" s="1969">
        <f t="shared" si="25"/>
        <v>35.297400000000003</v>
      </c>
      <c r="L72" s="1969">
        <f t="shared" si="25"/>
        <v>27.762</v>
      </c>
      <c r="M72" s="1969">
        <f t="shared" si="25"/>
        <v>26.175599999999999</v>
      </c>
      <c r="N72" s="1969"/>
    </row>
    <row r="73" spans="1:14">
      <c r="A73" s="2216">
        <v>2009</v>
      </c>
      <c r="B73" s="1969">
        <f t="shared" ref="B73:M73" si="26">B32*1.983</f>
        <v>25.184100000000001</v>
      </c>
      <c r="C73" s="1969">
        <f t="shared" si="26"/>
        <v>25.382400000000004</v>
      </c>
      <c r="D73" s="1969">
        <f t="shared" si="26"/>
        <v>22.011300000000002</v>
      </c>
      <c r="E73" s="1969">
        <f t="shared" si="26"/>
        <v>45.212400000000002</v>
      </c>
      <c r="F73" s="1969">
        <f t="shared" si="26"/>
        <v>105.099</v>
      </c>
      <c r="G73" s="1969">
        <f t="shared" si="26"/>
        <v>126.7137</v>
      </c>
      <c r="H73" s="1969">
        <f t="shared" si="26"/>
        <v>82.889399999999995</v>
      </c>
      <c r="I73" s="1969">
        <f t="shared" si="26"/>
        <v>44.022600000000004</v>
      </c>
      <c r="J73" s="1969">
        <f t="shared" si="26"/>
        <v>36.883800000000008</v>
      </c>
      <c r="K73" s="1969">
        <f t="shared" si="26"/>
        <v>32.917800000000007</v>
      </c>
      <c r="L73" s="1969">
        <f t="shared" si="26"/>
        <v>24.985800000000001</v>
      </c>
      <c r="M73" s="1969">
        <f t="shared" si="26"/>
        <v>22.011300000000002</v>
      </c>
      <c r="N73" s="1969"/>
    </row>
    <row r="74" spans="1:14">
      <c r="A74" s="2216">
        <v>2010</v>
      </c>
      <c r="B74" s="1969">
        <f t="shared" ref="B74:M74" si="27">B33*1.983</f>
        <v>19.830000000000002</v>
      </c>
      <c r="C74" s="1969">
        <f t="shared" si="27"/>
        <v>17.787510000000001</v>
      </c>
      <c r="D74" s="1969">
        <f t="shared" si="27"/>
        <v>34.305900000000001</v>
      </c>
      <c r="E74" s="1969">
        <f t="shared" si="27"/>
        <v>57.903600000000004</v>
      </c>
      <c r="F74" s="1969">
        <f t="shared" si="27"/>
        <v>115.80720000000001</v>
      </c>
      <c r="G74" s="1969">
        <f t="shared" si="27"/>
        <v>136.43039999999999</v>
      </c>
      <c r="H74" s="1969">
        <f t="shared" si="27"/>
        <v>72.577800000000011</v>
      </c>
      <c r="I74" s="1969">
        <f t="shared" si="27"/>
        <v>85.269000000000005</v>
      </c>
      <c r="J74" s="1969">
        <f t="shared" si="27"/>
        <v>38.866800000000005</v>
      </c>
      <c r="K74" s="1969">
        <f t="shared" si="27"/>
        <v>32.917800000000007</v>
      </c>
      <c r="L74" s="1969">
        <f t="shared" si="27"/>
        <v>32.124600000000001</v>
      </c>
      <c r="M74" s="1969">
        <f t="shared" si="27"/>
        <v>24.985800000000001</v>
      </c>
      <c r="N74" s="1969"/>
    </row>
    <row r="75" spans="1:14">
      <c r="A75" s="2216">
        <v>2011</v>
      </c>
      <c r="B75" s="1969">
        <f t="shared" ref="B75:M75" si="28">B34*1.983</f>
        <v>18.58071</v>
      </c>
      <c r="C75" s="1969">
        <f t="shared" si="28"/>
        <v>22.011300000000002</v>
      </c>
      <c r="D75" s="1969">
        <f t="shared" si="28"/>
        <v>20.623200000000001</v>
      </c>
      <c r="E75" s="1969">
        <f t="shared" si="28"/>
        <v>25.184100000000001</v>
      </c>
      <c r="F75" s="1969">
        <f t="shared" si="28"/>
        <v>47.790300000000002</v>
      </c>
      <c r="G75" s="1969">
        <f t="shared" si="28"/>
        <v>73.767600000000016</v>
      </c>
      <c r="H75" s="1969">
        <f t="shared" si="28"/>
        <v>94.19250000000001</v>
      </c>
      <c r="I75" s="1969">
        <f t="shared" si="28"/>
        <v>55.127400000000002</v>
      </c>
      <c r="J75" s="1969">
        <f t="shared" si="28"/>
        <v>41.048099999999998</v>
      </c>
      <c r="K75" s="1969">
        <f t="shared" si="28"/>
        <v>32.322900000000004</v>
      </c>
      <c r="L75" s="1969">
        <f t="shared" si="28"/>
        <v>30.934799999999999</v>
      </c>
      <c r="M75" s="1969">
        <f t="shared" si="28"/>
        <v>30.934799999999999</v>
      </c>
      <c r="N75" s="1969"/>
    </row>
    <row r="76" spans="1:14">
      <c r="A76" s="2216">
        <v>2012</v>
      </c>
      <c r="B76" s="1969">
        <f t="shared" ref="B76:M76" si="29">B35*1.983</f>
        <v>30.339900000000004</v>
      </c>
      <c r="C76" s="1969">
        <f t="shared" si="29"/>
        <v>27.762</v>
      </c>
      <c r="D76" s="1969">
        <f t="shared" si="29"/>
        <v>28.356900000000003</v>
      </c>
      <c r="E76" s="1969">
        <f t="shared" si="29"/>
        <v>33.512699999999995</v>
      </c>
      <c r="F76" s="1969">
        <f t="shared" si="29"/>
        <v>36.487200000000001</v>
      </c>
      <c r="G76" s="1969">
        <f t="shared" si="29"/>
        <v>20.623200000000001</v>
      </c>
      <c r="H76" s="1969">
        <f t="shared" si="29"/>
        <v>40.849800000000002</v>
      </c>
      <c r="I76" s="1969">
        <f t="shared" si="29"/>
        <v>43.031100000000002</v>
      </c>
      <c r="J76" s="1969">
        <f t="shared" si="29"/>
        <v>31.529700000000002</v>
      </c>
      <c r="K76" s="1969">
        <f t="shared" si="29"/>
        <v>27.9603</v>
      </c>
      <c r="L76" s="1969">
        <f t="shared" si="29"/>
        <v>29.546700000000001</v>
      </c>
      <c r="M76" s="1969">
        <f t="shared" si="29"/>
        <v>17.74785</v>
      </c>
      <c r="N76" s="1969"/>
    </row>
    <row r="77" spans="1:14">
      <c r="A77" s="2216">
        <v>2013</v>
      </c>
      <c r="B77" s="1969">
        <f t="shared" ref="B77:M77" si="30">B36*1.983</f>
        <v>11.699700000000002</v>
      </c>
      <c r="C77" s="1969">
        <f t="shared" si="30"/>
        <v>11.66004</v>
      </c>
      <c r="D77" s="1969">
        <f t="shared" si="30"/>
        <v>15.368250000000002</v>
      </c>
      <c r="E77" s="1969">
        <f t="shared" si="30"/>
        <v>27.762</v>
      </c>
      <c r="F77" s="1969">
        <f t="shared" si="30"/>
        <v>120.96300000000001</v>
      </c>
      <c r="G77" s="1969">
        <f t="shared" si="30"/>
        <v>69.405000000000001</v>
      </c>
      <c r="H77" s="1969">
        <f t="shared" si="30"/>
        <v>58.101900000000008</v>
      </c>
      <c r="I77" s="1969">
        <f t="shared" si="30"/>
        <v>64.447500000000005</v>
      </c>
      <c r="J77" s="1969">
        <f t="shared" si="30"/>
        <v>661.72710000000006</v>
      </c>
      <c r="K77" s="1969">
        <f t="shared" si="30"/>
        <v>158.44170000000003</v>
      </c>
      <c r="L77" s="1969">
        <f t="shared" si="30"/>
        <v>73.172700000000006</v>
      </c>
      <c r="M77" s="1969">
        <f t="shared" si="30"/>
        <v>53.937600000000003</v>
      </c>
      <c r="N77" s="1969"/>
    </row>
    <row r="78" spans="1:14">
      <c r="A78" s="2216">
        <v>2014</v>
      </c>
      <c r="B78" s="1969">
        <f t="shared" ref="B78:M78" si="31">B37*1.983</f>
        <v>40.056600000000003</v>
      </c>
      <c r="C78" s="1969">
        <f t="shared" si="31"/>
        <v>37.478699999999996</v>
      </c>
      <c r="D78" s="1969">
        <f t="shared" si="31"/>
        <v>38.470199999999998</v>
      </c>
      <c r="E78" s="1969">
        <f t="shared" si="31"/>
        <v>66.033900000000003</v>
      </c>
      <c r="F78" s="1969">
        <f t="shared" si="31"/>
        <v>164.19239999999999</v>
      </c>
      <c r="G78" s="1969">
        <f t="shared" si="31"/>
        <v>185.6088</v>
      </c>
      <c r="H78" s="1969">
        <f t="shared" si="31"/>
        <v>110.45310000000001</v>
      </c>
      <c r="I78" s="1969">
        <f t="shared" si="31"/>
        <v>102.9177</v>
      </c>
      <c r="J78" s="1969">
        <f t="shared" si="31"/>
        <v>75.155699999999996</v>
      </c>
      <c r="K78" s="1969">
        <f t="shared" si="31"/>
        <v>61.473000000000006</v>
      </c>
      <c r="L78" s="1969">
        <f t="shared" si="31"/>
        <v>43.427700000000002</v>
      </c>
      <c r="M78" s="1969">
        <f t="shared" si="31"/>
        <v>25.382400000000004</v>
      </c>
      <c r="N78" s="1969"/>
    </row>
    <row r="79" spans="1:14">
      <c r="A79" s="2216">
        <v>2015</v>
      </c>
      <c r="B79" s="1969">
        <f t="shared" ref="B79:M79" si="32">B38*1.983</f>
        <v>33.909300000000002</v>
      </c>
      <c r="C79" s="1969">
        <f t="shared" si="32"/>
        <v>27.167100000000001</v>
      </c>
      <c r="D79" s="1969">
        <f t="shared" si="32"/>
        <v>40.849800000000002</v>
      </c>
      <c r="E79" s="1969">
        <f t="shared" si="32"/>
        <v>65.63730000000001</v>
      </c>
      <c r="F79" s="1969">
        <f t="shared" si="32"/>
        <v>541.75559999999996</v>
      </c>
      <c r="G79" s="1969">
        <f t="shared" si="32"/>
        <v>571.69890000000009</v>
      </c>
      <c r="H79" s="1969">
        <f t="shared" si="32"/>
        <v>272.46420000000001</v>
      </c>
      <c r="I79" s="1969">
        <f t="shared" si="32"/>
        <v>105.6939</v>
      </c>
      <c r="J79" s="1969">
        <f t="shared" si="32"/>
        <v>52.946100000000001</v>
      </c>
      <c r="K79" s="1969">
        <f t="shared" si="32"/>
        <v>48.385199999999998</v>
      </c>
      <c r="L79" s="1969">
        <f t="shared" si="32"/>
        <v>44.815800000000003</v>
      </c>
      <c r="M79" s="1969">
        <f t="shared" si="32"/>
        <v>42.832800000000006</v>
      </c>
      <c r="N79" s="1969"/>
    </row>
    <row r="80" spans="1:14">
      <c r="A80" s="2216">
        <v>2016</v>
      </c>
      <c r="B80" s="1969">
        <f t="shared" ref="B80:M80" si="33">B39*1.983</f>
        <v>33.909300000000002</v>
      </c>
      <c r="C80" s="1969">
        <f t="shared" si="33"/>
        <v>30.736500000000003</v>
      </c>
      <c r="D80" s="1969">
        <f t="shared" si="33"/>
        <v>31.926300000000005</v>
      </c>
      <c r="E80" s="1969">
        <f t="shared" si="33"/>
        <v>94.19250000000001</v>
      </c>
      <c r="F80" s="1969">
        <f t="shared" si="33"/>
        <v>195.32550000000001</v>
      </c>
      <c r="G80" s="1969">
        <f t="shared" si="33"/>
        <v>191.3595</v>
      </c>
      <c r="H80" s="1969">
        <f t="shared" si="33"/>
        <v>100.14150000000001</v>
      </c>
      <c r="I80" s="1969">
        <f t="shared" si="33"/>
        <v>50.169900000000005</v>
      </c>
      <c r="J80" s="1969">
        <f t="shared" si="33"/>
        <v>33.314400000000006</v>
      </c>
      <c r="K80" s="1969">
        <f t="shared" si="33"/>
        <v>26.968800000000002</v>
      </c>
      <c r="L80" s="1969">
        <f t="shared" si="33"/>
        <v>23.994299999999999</v>
      </c>
      <c r="M80" s="1969">
        <f t="shared" si="33"/>
        <v>21.2181</v>
      </c>
      <c r="N80" s="1969"/>
    </row>
    <row r="81" spans="1:14">
      <c r="A81" s="2216">
        <v>2017</v>
      </c>
      <c r="B81" s="1969">
        <f t="shared" ref="B81:M81" si="34">B40*1.983</f>
        <v>20.424900000000001</v>
      </c>
      <c r="C81" s="1969">
        <f t="shared" si="34"/>
        <v>19.770510000000002</v>
      </c>
      <c r="D81" s="1969">
        <f t="shared" si="34"/>
        <v>24.985800000000001</v>
      </c>
      <c r="E81" s="1969">
        <f t="shared" si="34"/>
        <v>34.702500000000001</v>
      </c>
      <c r="F81" s="1969">
        <f t="shared" si="34"/>
        <v>74.759100000000004</v>
      </c>
      <c r="G81" s="1969">
        <f t="shared" si="34"/>
        <v>124.929</v>
      </c>
      <c r="H81" s="1969">
        <f t="shared" si="34"/>
        <v>88.045200000000008</v>
      </c>
      <c r="I81" s="1969">
        <f t="shared" si="34"/>
        <v>80.906400000000005</v>
      </c>
      <c r="J81" s="1969">
        <f t="shared" si="34"/>
        <v>52.351199999999999</v>
      </c>
      <c r="K81" s="1969">
        <f t="shared" si="34"/>
        <v>63.654300000000006</v>
      </c>
      <c r="L81" s="1969">
        <f t="shared" si="34"/>
        <v>42.237900000000003</v>
      </c>
      <c r="M81" s="1969">
        <f t="shared" si="34"/>
        <v>23.2011</v>
      </c>
      <c r="N81" s="1969"/>
    </row>
    <row r="82" spans="1:14">
      <c r="A82" s="2216">
        <v>2018</v>
      </c>
      <c r="B82" s="1969">
        <f t="shared" ref="B82:M82" si="35">B41*1.983</f>
        <v>20.424900000000001</v>
      </c>
      <c r="C82" s="1969">
        <f t="shared" si="35"/>
        <v>26.175599999999999</v>
      </c>
      <c r="D82" s="1969">
        <f t="shared" si="35"/>
        <v>27.563700000000001</v>
      </c>
      <c r="E82" s="1969">
        <f t="shared" si="35"/>
        <v>27.563700000000001</v>
      </c>
      <c r="F82" s="1969">
        <f t="shared" si="35"/>
        <v>51.558</v>
      </c>
      <c r="G82" s="1969">
        <f t="shared" si="35"/>
        <v>35.495699999999999</v>
      </c>
      <c r="H82" s="1969">
        <f t="shared" si="35"/>
        <v>25.779</v>
      </c>
      <c r="I82" s="1969">
        <f t="shared" si="35"/>
        <v>17.92632</v>
      </c>
      <c r="J82" s="1969">
        <f t="shared" si="35"/>
        <v>21.2181</v>
      </c>
      <c r="K82" s="1969">
        <f t="shared" si="35"/>
        <v>21.2181</v>
      </c>
      <c r="L82" s="1969">
        <f t="shared" si="35"/>
        <v>34.107599999999998</v>
      </c>
      <c r="M82" s="1969">
        <f t="shared" si="35"/>
        <v>18.32292</v>
      </c>
      <c r="N82" s="1969"/>
    </row>
    <row r="83" spans="1:14">
      <c r="A83" s="2216">
        <v>2019</v>
      </c>
      <c r="B83" s="1969">
        <f t="shared" ref="B83:J83" si="36">B42*1.983</f>
        <v>15.38808</v>
      </c>
      <c r="C83" s="1969">
        <f t="shared" si="36"/>
        <v>15.64587</v>
      </c>
      <c r="D83" s="1969">
        <f t="shared" si="36"/>
        <v>23.795999999999999</v>
      </c>
      <c r="E83" s="1969">
        <f t="shared" si="36"/>
        <v>36.685500000000005</v>
      </c>
      <c r="F83" s="1969">
        <f t="shared" si="36"/>
        <v>68.215199999999996</v>
      </c>
      <c r="G83" s="1969">
        <f t="shared" si="36"/>
        <v>158.24340000000001</v>
      </c>
      <c r="H83" s="1969">
        <f t="shared" si="36"/>
        <v>129.68820000000002</v>
      </c>
      <c r="I83" s="1969">
        <f t="shared" si="36"/>
        <v>71.189700000000002</v>
      </c>
      <c r="J83" s="1969">
        <f t="shared" si="36"/>
        <v>34.900800000000004</v>
      </c>
      <c r="K83" s="1969">
        <v>14.9</v>
      </c>
      <c r="L83" s="1969">
        <v>14.9</v>
      </c>
      <c r="M83" s="1969">
        <v>21.9</v>
      </c>
      <c r="N83" s="1969"/>
    </row>
    <row r="84" spans="1:14" ht="28">
      <c r="A84" s="2276" t="s">
        <v>1908</v>
      </c>
      <c r="B84" s="2276"/>
      <c r="C84" s="2276"/>
      <c r="D84" s="2276"/>
      <c r="E84" s="2276"/>
      <c r="F84" s="2276"/>
      <c r="G84" s="2276"/>
      <c r="H84" s="2276"/>
      <c r="I84" s="2276"/>
      <c r="J84" s="2276"/>
      <c r="K84" s="2276"/>
      <c r="L84" s="2276"/>
      <c r="M84" s="2276"/>
      <c r="N84" t="s">
        <v>1909</v>
      </c>
    </row>
    <row r="85" spans="1:14">
      <c r="A85" s="2216">
        <v>1984</v>
      </c>
      <c r="B85" s="2219">
        <f>B48*$B$46</f>
        <v>0</v>
      </c>
      <c r="C85" s="2219">
        <f>C48*$C$46</f>
        <v>0</v>
      </c>
      <c r="D85" s="2219">
        <f>D48*$D$46</f>
        <v>0</v>
      </c>
      <c r="E85" s="2219">
        <f>E48*$E$46</f>
        <v>0</v>
      </c>
      <c r="F85" s="2219">
        <f>F48*$F$46</f>
        <v>0</v>
      </c>
      <c r="G85" s="2219">
        <f>G48*$G$46</f>
        <v>0</v>
      </c>
      <c r="H85" s="2219">
        <f>H48*$H$46</f>
        <v>0</v>
      </c>
      <c r="I85" s="2219">
        <f>I48*$I$46</f>
        <v>0</v>
      </c>
      <c r="J85" s="2219">
        <f>J48*$J$46</f>
        <v>0</v>
      </c>
      <c r="K85" s="2219">
        <f>K48*$K$46</f>
        <v>5231.3522999999996</v>
      </c>
      <c r="L85" s="2219">
        <f>L48*$L$46</f>
        <v>3343.3380000000002</v>
      </c>
      <c r="M85" s="2219">
        <f>M48*$M$46</f>
        <v>2016.3144</v>
      </c>
      <c r="N85" s="2198">
        <f>SUM(B85:M85)</f>
        <v>10591.0047</v>
      </c>
    </row>
    <row r="86" spans="1:14">
      <c r="A86" s="2216">
        <v>1985</v>
      </c>
      <c r="B86" s="2219">
        <f t="shared" ref="B86:B120" si="37">B49*$B$46</f>
        <v>1124.9559000000002</v>
      </c>
      <c r="C86" s="2219">
        <f t="shared" ref="C86:C120" si="38">C49*$C$46</f>
        <v>845.35289999999998</v>
      </c>
      <c r="D86" s="2219">
        <f t="shared" ref="D86:D120" si="39">D49*$D$46</f>
        <v>1180.2816</v>
      </c>
      <c r="E86" s="2219">
        <f t="shared" ref="E86:E120" si="40">E49*$E$46</f>
        <v>2195.181</v>
      </c>
      <c r="F86" s="2219">
        <f t="shared" ref="F86:F120" si="41">F49*$F$46</f>
        <v>7063.2477000000008</v>
      </c>
      <c r="G86" s="2219">
        <f t="shared" ref="G86:G120" si="42">G49*$G$46</f>
        <v>6175.0619999999999</v>
      </c>
      <c r="H86" s="2219">
        <f t="shared" ref="H86:H120" si="43">H49*$H$46</f>
        <v>4702.6845000000003</v>
      </c>
      <c r="I86" s="2219">
        <f t="shared" ref="I86:I120" si="44">I49*$I$46</f>
        <v>4309.2572999999993</v>
      </c>
      <c r="J86" s="2219">
        <f t="shared" ref="J86:J120" si="45">J49*$J$46</f>
        <v>2165.4360000000001</v>
      </c>
      <c r="K86" s="2219">
        <f t="shared" ref="K86:K120" si="46">K49*$K$46</f>
        <v>1788.8643000000002</v>
      </c>
      <c r="L86" s="2219">
        <f t="shared" ref="L86:L120" si="47">L49*$L$46</f>
        <v>1136.259</v>
      </c>
      <c r="M86" s="2219">
        <f t="shared" ref="M86:M120" si="48">M49*$M$46</f>
        <v>1217.1654000000001</v>
      </c>
      <c r="N86" s="2198">
        <f t="shared" ref="N86:N120" si="49">SUM(B86:M86)</f>
        <v>33903.747600000002</v>
      </c>
    </row>
    <row r="87" spans="1:14">
      <c r="A87" s="2216">
        <v>1986</v>
      </c>
      <c r="B87" s="2219">
        <f t="shared" si="37"/>
        <v>1032.7464000000002</v>
      </c>
      <c r="C87" s="2219">
        <f t="shared" si="38"/>
        <v>954.61620000000016</v>
      </c>
      <c r="D87" s="2219">
        <f t="shared" si="39"/>
        <v>1081.9248000000002</v>
      </c>
      <c r="E87" s="2219">
        <f t="shared" si="40"/>
        <v>2064.3030000000003</v>
      </c>
      <c r="F87" s="2219">
        <f t="shared" si="41"/>
        <v>4143.2802000000011</v>
      </c>
      <c r="G87" s="2219">
        <f t="shared" si="42"/>
        <v>6728.3189999999995</v>
      </c>
      <c r="H87" s="2219">
        <f t="shared" si="43"/>
        <v>4389.1722000000009</v>
      </c>
      <c r="I87" s="2219">
        <f t="shared" si="44"/>
        <v>2286.7956000000004</v>
      </c>
      <c r="J87" s="2219">
        <f t="shared" si="45"/>
        <v>1701.4140000000002</v>
      </c>
      <c r="K87" s="2219">
        <f t="shared" si="46"/>
        <v>1819.6008000000002</v>
      </c>
      <c r="L87" s="2219">
        <f t="shared" si="47"/>
        <v>1386.1170000000002</v>
      </c>
      <c r="M87" s="2219">
        <f t="shared" si="48"/>
        <v>1260.1965</v>
      </c>
      <c r="N87" s="2198">
        <f t="shared" si="49"/>
        <v>28848.485700000005</v>
      </c>
    </row>
    <row r="88" spans="1:14">
      <c r="A88" s="2216">
        <v>1987</v>
      </c>
      <c r="B88" s="2219">
        <f t="shared" si="37"/>
        <v>965.12609999999995</v>
      </c>
      <c r="C88" s="2219">
        <f t="shared" si="38"/>
        <v>724.58820000000003</v>
      </c>
      <c r="D88" s="2219">
        <f t="shared" si="39"/>
        <v>1420.0263000000002</v>
      </c>
      <c r="E88" s="2219">
        <f t="shared" si="40"/>
        <v>5336.2529999999997</v>
      </c>
      <c r="F88" s="2219">
        <f t="shared" si="41"/>
        <v>14151.0846</v>
      </c>
      <c r="G88" s="2219">
        <f t="shared" si="42"/>
        <v>8572.509</v>
      </c>
      <c r="H88" s="2219">
        <f t="shared" si="43"/>
        <v>4112.5437000000011</v>
      </c>
      <c r="I88" s="2219">
        <f t="shared" si="44"/>
        <v>2852.3472000000002</v>
      </c>
      <c r="J88" s="2219">
        <f t="shared" si="45"/>
        <v>1951.2719999999999</v>
      </c>
      <c r="K88" s="2219">
        <f t="shared" si="46"/>
        <v>1733.5386000000001</v>
      </c>
      <c r="L88" s="2219">
        <f t="shared" si="47"/>
        <v>2528.3250000000003</v>
      </c>
      <c r="M88" s="2219">
        <f t="shared" si="48"/>
        <v>1008.1572</v>
      </c>
      <c r="N88" s="2198">
        <f t="shared" si="49"/>
        <v>45355.770900000003</v>
      </c>
    </row>
    <row r="89" spans="1:14">
      <c r="A89" s="2216">
        <v>1988</v>
      </c>
      <c r="B89" s="2219">
        <f t="shared" si="37"/>
        <v>983.5680000000001</v>
      </c>
      <c r="C89" s="2219">
        <f t="shared" si="38"/>
        <v>805.09799999999996</v>
      </c>
      <c r="D89" s="2219">
        <f t="shared" si="39"/>
        <v>823.73820000000012</v>
      </c>
      <c r="E89" s="2219">
        <f t="shared" si="40"/>
        <v>2629.4580000000005</v>
      </c>
      <c r="F89" s="2219">
        <f t="shared" si="41"/>
        <v>5046.9332999999997</v>
      </c>
      <c r="G89" s="2219">
        <f t="shared" si="42"/>
        <v>5937.1019999999999</v>
      </c>
      <c r="H89" s="2219">
        <f t="shared" si="43"/>
        <v>3614.6124</v>
      </c>
      <c r="I89" s="2219">
        <f t="shared" si="44"/>
        <v>2047.0509000000002</v>
      </c>
      <c r="J89" s="2219">
        <f t="shared" si="45"/>
        <v>2123.7930000000001</v>
      </c>
      <c r="K89" s="2219">
        <f t="shared" si="46"/>
        <v>1260.1965</v>
      </c>
      <c r="L89" s="2219">
        <f t="shared" si="47"/>
        <v>981.58500000000015</v>
      </c>
      <c r="M89" s="2219">
        <f t="shared" si="48"/>
        <v>823.73820000000012</v>
      </c>
      <c r="N89" s="2198">
        <f t="shared" si="49"/>
        <v>27076.873500000002</v>
      </c>
    </row>
    <row r="90" spans="1:14">
      <c r="A90" s="2216">
        <v>1989</v>
      </c>
      <c r="B90" s="2219">
        <f t="shared" si="37"/>
        <v>805.29629999999997</v>
      </c>
      <c r="C90" s="2219">
        <f t="shared" si="38"/>
        <v>690.08399999999995</v>
      </c>
      <c r="D90" s="2219">
        <f t="shared" si="39"/>
        <v>793.00170000000003</v>
      </c>
      <c r="E90" s="2219">
        <f t="shared" si="40"/>
        <v>1267.1370000000002</v>
      </c>
      <c r="F90" s="2219">
        <f t="shared" si="41"/>
        <v>2852.3472000000002</v>
      </c>
      <c r="G90" s="2219">
        <f t="shared" si="42"/>
        <v>4432.005000000001</v>
      </c>
      <c r="H90" s="2219">
        <f t="shared" si="43"/>
        <v>3301.1001000000006</v>
      </c>
      <c r="I90" s="2219">
        <f t="shared" si="44"/>
        <v>2747.8431</v>
      </c>
      <c r="J90" s="2219">
        <f t="shared" si="45"/>
        <v>1754.9549999999999</v>
      </c>
      <c r="K90" s="2219">
        <f t="shared" si="46"/>
        <v>1290.933</v>
      </c>
      <c r="L90" s="2219">
        <f t="shared" si="47"/>
        <v>1255.239</v>
      </c>
      <c r="M90" s="2219">
        <f t="shared" si="48"/>
        <v>848.32740000000001</v>
      </c>
      <c r="N90" s="2198">
        <f t="shared" si="49"/>
        <v>22038.268800000005</v>
      </c>
    </row>
    <row r="91" spans="1:14">
      <c r="A91" s="2216">
        <v>1990</v>
      </c>
      <c r="B91" s="2219">
        <f t="shared" si="37"/>
        <v>639.31920000000002</v>
      </c>
      <c r="C91" s="2219">
        <f t="shared" si="38"/>
        <v>511.23723000000007</v>
      </c>
      <c r="D91" s="2219">
        <f t="shared" si="39"/>
        <v>891.35850000000005</v>
      </c>
      <c r="E91" s="2219">
        <f t="shared" si="40"/>
        <v>2439.09</v>
      </c>
      <c r="F91" s="2219">
        <f t="shared" si="41"/>
        <v>3805.1787000000004</v>
      </c>
      <c r="G91" s="2219">
        <f t="shared" si="42"/>
        <v>2962.6019999999999</v>
      </c>
      <c r="H91" s="2219">
        <f t="shared" si="43"/>
        <v>3178.1541000000002</v>
      </c>
      <c r="I91" s="2219">
        <f t="shared" si="44"/>
        <v>3258.069</v>
      </c>
      <c r="J91" s="2219">
        <f t="shared" si="45"/>
        <v>2766.2850000000003</v>
      </c>
      <c r="K91" s="2219">
        <f t="shared" si="46"/>
        <v>2114.6711999999998</v>
      </c>
      <c r="L91" s="2219">
        <f t="shared" si="47"/>
        <v>1570.5360000000001</v>
      </c>
      <c r="M91" s="2219">
        <f t="shared" si="48"/>
        <v>903.65309999999999</v>
      </c>
      <c r="N91" s="2198">
        <f t="shared" si="49"/>
        <v>25040.154029999998</v>
      </c>
    </row>
    <row r="92" spans="1:14">
      <c r="A92" s="2216">
        <v>1991</v>
      </c>
      <c r="B92" s="2219">
        <f t="shared" si="37"/>
        <v>688.49759999999992</v>
      </c>
      <c r="C92" s="2219">
        <f t="shared" si="38"/>
        <v>567.01901999999995</v>
      </c>
      <c r="D92" s="2219">
        <f t="shared" si="39"/>
        <v>663.90840000000014</v>
      </c>
      <c r="E92" s="2219">
        <f t="shared" si="40"/>
        <v>826.91100000000006</v>
      </c>
      <c r="F92" s="2219">
        <f t="shared" si="41"/>
        <v>4229.3423999999995</v>
      </c>
      <c r="G92" s="2219">
        <f t="shared" si="42"/>
        <v>7448.1480000000001</v>
      </c>
      <c r="H92" s="2219">
        <f t="shared" si="43"/>
        <v>3952.7139000000002</v>
      </c>
      <c r="I92" s="2219">
        <f t="shared" si="44"/>
        <v>5366.5929000000006</v>
      </c>
      <c r="J92" s="2219">
        <f t="shared" si="45"/>
        <v>2980.4490000000001</v>
      </c>
      <c r="K92" s="2219">
        <f t="shared" si="46"/>
        <v>1745.8332</v>
      </c>
      <c r="L92" s="2219">
        <f t="shared" si="47"/>
        <v>1350.423</v>
      </c>
      <c r="M92" s="2219">
        <f t="shared" si="48"/>
        <v>1118.8086000000001</v>
      </c>
      <c r="N92" s="2198">
        <f t="shared" si="49"/>
        <v>30938.64702</v>
      </c>
    </row>
    <row r="93" spans="1:14">
      <c r="A93" s="2216">
        <v>1992</v>
      </c>
      <c r="B93" s="2219">
        <f t="shared" si="37"/>
        <v>1014.3045000000001</v>
      </c>
      <c r="C93" s="2219">
        <f t="shared" si="38"/>
        <v>1006.3725000000001</v>
      </c>
      <c r="D93" s="2219">
        <f t="shared" si="39"/>
        <v>1641.3290999999999</v>
      </c>
      <c r="E93" s="2219">
        <f t="shared" si="40"/>
        <v>3319.5419999999999</v>
      </c>
      <c r="F93" s="2219">
        <f t="shared" si="41"/>
        <v>3756.0003000000002</v>
      </c>
      <c r="G93" s="2219">
        <f t="shared" si="42"/>
        <v>3509.91</v>
      </c>
      <c r="H93" s="2219">
        <f t="shared" si="43"/>
        <v>2397.4470000000001</v>
      </c>
      <c r="I93" s="2219">
        <f t="shared" si="44"/>
        <v>1917.9576</v>
      </c>
      <c r="J93" s="2219">
        <f t="shared" si="45"/>
        <v>1243.3409999999999</v>
      </c>
      <c r="K93" s="2219">
        <f t="shared" si="46"/>
        <v>1032.7464000000002</v>
      </c>
      <c r="L93" s="2219">
        <f t="shared" si="47"/>
        <v>574.07850000000008</v>
      </c>
      <c r="M93" s="2219">
        <f t="shared" si="48"/>
        <v>688.49759999999992</v>
      </c>
      <c r="N93" s="2198">
        <f t="shared" si="49"/>
        <v>22101.5265</v>
      </c>
    </row>
    <row r="94" spans="1:14">
      <c r="A94" s="2216">
        <v>1993</v>
      </c>
      <c r="B94" s="2219">
        <f t="shared" si="37"/>
        <v>670.05570000000012</v>
      </c>
      <c r="C94" s="2219">
        <f t="shared" si="38"/>
        <v>638.32770000000005</v>
      </c>
      <c r="D94" s="2219">
        <f t="shared" si="39"/>
        <v>719.23410000000001</v>
      </c>
      <c r="E94" s="2219">
        <f t="shared" si="40"/>
        <v>1267.1370000000002</v>
      </c>
      <c r="F94" s="2219">
        <f t="shared" si="41"/>
        <v>2710.9593000000004</v>
      </c>
      <c r="G94" s="2219">
        <f t="shared" si="42"/>
        <v>3123.2249999999999</v>
      </c>
      <c r="H94" s="2219">
        <f t="shared" si="43"/>
        <v>2213.0280000000002</v>
      </c>
      <c r="I94" s="2219">
        <f t="shared" si="44"/>
        <v>1456.9101000000001</v>
      </c>
      <c r="J94" s="2219">
        <f t="shared" si="45"/>
        <v>1225.4940000000001</v>
      </c>
      <c r="K94" s="2219">
        <f t="shared" si="46"/>
        <v>1057.3355999999999</v>
      </c>
      <c r="L94" s="2219">
        <f t="shared" si="47"/>
        <v>892.35</v>
      </c>
      <c r="M94" s="2219">
        <f t="shared" si="48"/>
        <v>651.61379999999997</v>
      </c>
      <c r="N94" s="2198">
        <f t="shared" si="49"/>
        <v>16625.670300000005</v>
      </c>
    </row>
    <row r="95" spans="1:14">
      <c r="A95" s="2216">
        <v>1994</v>
      </c>
      <c r="B95" s="2219">
        <f t="shared" si="37"/>
        <v>593.82917999999995</v>
      </c>
      <c r="C95" s="2219">
        <f t="shared" si="38"/>
        <v>499.16076000000004</v>
      </c>
      <c r="D95" s="2219">
        <f t="shared" si="39"/>
        <v>823.73820000000012</v>
      </c>
      <c r="E95" s="2219">
        <f t="shared" si="40"/>
        <v>1534.8420000000001</v>
      </c>
      <c r="F95" s="2219">
        <f t="shared" si="41"/>
        <v>4721.1264000000001</v>
      </c>
      <c r="G95" s="2219">
        <f t="shared" si="42"/>
        <v>2778.1830000000004</v>
      </c>
      <c r="H95" s="2219">
        <f t="shared" si="43"/>
        <v>1690.5075000000002</v>
      </c>
      <c r="I95" s="2219">
        <f t="shared" si="44"/>
        <v>1235.6073000000001</v>
      </c>
      <c r="J95" s="2219">
        <f t="shared" si="45"/>
        <v>1023.228</v>
      </c>
      <c r="K95" s="2219">
        <f t="shared" si="46"/>
        <v>983.5680000000001</v>
      </c>
      <c r="L95" s="2219">
        <f t="shared" si="47"/>
        <v>886.40100000000007</v>
      </c>
      <c r="M95" s="2219">
        <f t="shared" si="48"/>
        <v>532.97091</v>
      </c>
      <c r="N95" s="2198">
        <f t="shared" si="49"/>
        <v>17303.162250000001</v>
      </c>
    </row>
    <row r="96" spans="1:14">
      <c r="A96" s="2216">
        <v>1995</v>
      </c>
      <c r="B96" s="2219">
        <f t="shared" si="37"/>
        <v>553.25700000000006</v>
      </c>
      <c r="C96" s="2219">
        <f t="shared" si="38"/>
        <v>580.82069999999999</v>
      </c>
      <c r="D96" s="2219">
        <f t="shared" si="39"/>
        <v>588.2966100000001</v>
      </c>
      <c r="E96" s="2219">
        <f t="shared" si="40"/>
        <v>1249.29</v>
      </c>
      <c r="F96" s="2219">
        <f t="shared" si="41"/>
        <v>9725.0285999999996</v>
      </c>
      <c r="G96" s="2219">
        <f t="shared" si="42"/>
        <v>16633.404000000002</v>
      </c>
      <c r="H96" s="2219">
        <f t="shared" si="43"/>
        <v>8255.8239000000012</v>
      </c>
      <c r="I96" s="2219">
        <f t="shared" si="44"/>
        <v>3743.7057</v>
      </c>
      <c r="J96" s="2219">
        <f t="shared" si="45"/>
        <v>2504.529</v>
      </c>
      <c r="K96" s="2219">
        <f t="shared" si="46"/>
        <v>1776.5697</v>
      </c>
      <c r="L96" s="2219">
        <f t="shared" si="47"/>
        <v>1552.6890000000001</v>
      </c>
      <c r="M96" s="2219">
        <f t="shared" si="48"/>
        <v>1487.6466</v>
      </c>
      <c r="N96" s="2198">
        <f t="shared" si="49"/>
        <v>48651.060810000003</v>
      </c>
    </row>
    <row r="97" spans="1:14">
      <c r="A97" s="2216">
        <v>1996</v>
      </c>
      <c r="B97" s="2219">
        <f t="shared" si="37"/>
        <v>1149.5450999999998</v>
      </c>
      <c r="C97" s="2219">
        <f t="shared" si="38"/>
        <v>1046.6274000000001</v>
      </c>
      <c r="D97" s="2219">
        <f t="shared" si="39"/>
        <v>1131.1032</v>
      </c>
      <c r="E97" s="2219">
        <f t="shared" si="40"/>
        <v>1409.913</v>
      </c>
      <c r="F97" s="2219">
        <f t="shared" si="41"/>
        <v>3313.3947000000003</v>
      </c>
      <c r="G97" s="2219">
        <f t="shared" si="42"/>
        <v>4134.5550000000003</v>
      </c>
      <c r="H97" s="2219">
        <f t="shared" si="43"/>
        <v>2514.2456999999999</v>
      </c>
      <c r="I97" s="2219">
        <f t="shared" si="44"/>
        <v>1653.6237000000001</v>
      </c>
      <c r="J97" s="2219">
        <f t="shared" si="45"/>
        <v>1463.4540000000002</v>
      </c>
      <c r="K97" s="2219">
        <f t="shared" si="46"/>
        <v>1321.6695</v>
      </c>
      <c r="L97" s="2219">
        <f t="shared" si="47"/>
        <v>1124.3609999999999</v>
      </c>
      <c r="M97" s="2219">
        <f t="shared" si="48"/>
        <v>737.67599999999993</v>
      </c>
      <c r="N97" s="2198">
        <f t="shared" si="49"/>
        <v>21000.168300000001</v>
      </c>
    </row>
    <row r="98" spans="1:14">
      <c r="A98" s="2216">
        <v>1997</v>
      </c>
      <c r="B98" s="2219">
        <f t="shared" si="37"/>
        <v>688.49759999999992</v>
      </c>
      <c r="C98" s="2219">
        <f t="shared" si="38"/>
        <v>580.82069999999999</v>
      </c>
      <c r="D98" s="2219">
        <f t="shared" si="39"/>
        <v>829.88550000000009</v>
      </c>
      <c r="E98" s="2219">
        <f t="shared" si="40"/>
        <v>1838.241</v>
      </c>
      <c r="F98" s="2219">
        <f t="shared" si="41"/>
        <v>5520.2753999999995</v>
      </c>
      <c r="G98" s="2219">
        <f t="shared" si="42"/>
        <v>10446.444000000001</v>
      </c>
      <c r="H98" s="2219">
        <f t="shared" si="43"/>
        <v>3854.3571000000002</v>
      </c>
      <c r="I98" s="2219">
        <f t="shared" si="44"/>
        <v>4960.8711000000003</v>
      </c>
      <c r="J98" s="2219">
        <f t="shared" si="45"/>
        <v>3224.3580000000006</v>
      </c>
      <c r="K98" s="2219">
        <f t="shared" si="46"/>
        <v>2145.4076999999997</v>
      </c>
      <c r="L98" s="2219">
        <f t="shared" si="47"/>
        <v>1760.904</v>
      </c>
      <c r="M98" s="2219">
        <f t="shared" si="48"/>
        <v>1469.2047</v>
      </c>
      <c r="N98" s="2198">
        <f t="shared" si="49"/>
        <v>37319.266800000005</v>
      </c>
    </row>
    <row r="99" spans="1:14">
      <c r="A99" s="2216">
        <v>1998</v>
      </c>
      <c r="B99" s="2219">
        <f t="shared" si="37"/>
        <v>1204.8708000000001</v>
      </c>
      <c r="C99" s="2219">
        <f t="shared" si="38"/>
        <v>1006.3725000000001</v>
      </c>
      <c r="D99" s="2219">
        <f t="shared" si="39"/>
        <v>1604.4453000000001</v>
      </c>
      <c r="E99" s="2219">
        <f t="shared" si="40"/>
        <v>4842.4860000000008</v>
      </c>
      <c r="F99" s="2219">
        <f t="shared" si="41"/>
        <v>14642.8686</v>
      </c>
      <c r="G99" s="2219">
        <f t="shared" si="42"/>
        <v>7793.1900000000005</v>
      </c>
      <c r="H99" s="2219">
        <f t="shared" si="43"/>
        <v>5237.4996000000001</v>
      </c>
      <c r="I99" s="2219">
        <f t="shared" si="44"/>
        <v>6516.1379999999999</v>
      </c>
      <c r="J99" s="2219">
        <f t="shared" si="45"/>
        <v>2849.5710000000004</v>
      </c>
      <c r="K99" s="2219">
        <f t="shared" si="46"/>
        <v>1807.3062</v>
      </c>
      <c r="L99" s="2219">
        <f t="shared" si="47"/>
        <v>1332.5759999999998</v>
      </c>
      <c r="M99" s="2219">
        <f t="shared" si="48"/>
        <v>1026.5991000000001</v>
      </c>
      <c r="N99" s="2198">
        <f t="shared" si="49"/>
        <v>49863.923100000007</v>
      </c>
    </row>
    <row r="100" spans="1:14">
      <c r="A100" s="2216">
        <v>1999</v>
      </c>
      <c r="B100" s="2219">
        <f t="shared" si="37"/>
        <v>885.21120000000008</v>
      </c>
      <c r="C100" s="2219">
        <f t="shared" si="38"/>
        <v>661.33050000000003</v>
      </c>
      <c r="D100" s="2219">
        <f t="shared" si="39"/>
        <v>903.65309999999999</v>
      </c>
      <c r="E100" s="2219">
        <f t="shared" si="40"/>
        <v>1433.7090000000001</v>
      </c>
      <c r="F100" s="2219">
        <f t="shared" si="41"/>
        <v>11034.4035</v>
      </c>
      <c r="G100" s="2219">
        <f t="shared" si="42"/>
        <v>10886.67</v>
      </c>
      <c r="H100" s="2219">
        <f t="shared" si="43"/>
        <v>5477.2442999999994</v>
      </c>
      <c r="I100" s="2219">
        <f t="shared" si="44"/>
        <v>7930.0170000000007</v>
      </c>
      <c r="J100" s="2219">
        <f t="shared" si="45"/>
        <v>2873.3669999999997</v>
      </c>
      <c r="K100" s="2219">
        <f t="shared" si="46"/>
        <v>1874.9265</v>
      </c>
      <c r="L100" s="2219">
        <f t="shared" si="47"/>
        <v>1154.106</v>
      </c>
      <c r="M100" s="2219">
        <f t="shared" si="48"/>
        <v>829.88550000000009</v>
      </c>
      <c r="N100" s="2198">
        <f t="shared" si="49"/>
        <v>45944.523599999993</v>
      </c>
    </row>
    <row r="101" spans="1:14">
      <c r="A101" s="2216">
        <v>2000</v>
      </c>
      <c r="B101" s="2219">
        <f t="shared" si="37"/>
        <v>891.35850000000005</v>
      </c>
      <c r="C101" s="2219">
        <f t="shared" si="38"/>
        <v>891.35850000000005</v>
      </c>
      <c r="D101" s="2219">
        <f t="shared" si="39"/>
        <v>1002.0099000000001</v>
      </c>
      <c r="E101" s="2219">
        <f t="shared" si="40"/>
        <v>1862.037</v>
      </c>
      <c r="F101" s="2219">
        <f t="shared" si="41"/>
        <v>2858.4945000000002</v>
      </c>
      <c r="G101" s="2219">
        <f t="shared" si="42"/>
        <v>1862.037</v>
      </c>
      <c r="H101" s="2219">
        <f t="shared" si="43"/>
        <v>1936.3995</v>
      </c>
      <c r="I101" s="2219">
        <f t="shared" si="44"/>
        <v>1426.1736000000001</v>
      </c>
      <c r="J101" s="2219">
        <f t="shared" si="45"/>
        <v>1493.1990000000001</v>
      </c>
      <c r="K101" s="2219">
        <f t="shared" si="46"/>
        <v>1284.7856999999999</v>
      </c>
      <c r="L101" s="2219">
        <f t="shared" si="47"/>
        <v>815.01300000000003</v>
      </c>
      <c r="M101" s="2219">
        <f t="shared" si="48"/>
        <v>584.60823000000005</v>
      </c>
      <c r="N101" s="2198">
        <f t="shared" si="49"/>
        <v>16907.474430000002</v>
      </c>
    </row>
    <row r="102" spans="1:14">
      <c r="A102" s="2216">
        <v>2001</v>
      </c>
      <c r="B102" s="2219">
        <f t="shared" si="37"/>
        <v>447.52344000000005</v>
      </c>
      <c r="C102" s="2219">
        <f t="shared" si="38"/>
        <v>559.54311000000007</v>
      </c>
      <c r="D102" s="2219">
        <f t="shared" si="39"/>
        <v>872.91660000000002</v>
      </c>
      <c r="E102" s="2219">
        <f t="shared" si="40"/>
        <v>1255.239</v>
      </c>
      <c r="F102" s="2219">
        <f t="shared" si="41"/>
        <v>3823.6206000000006</v>
      </c>
      <c r="G102" s="2219">
        <f t="shared" si="42"/>
        <v>2201.13</v>
      </c>
      <c r="H102" s="2219">
        <f t="shared" si="43"/>
        <v>3006.0297</v>
      </c>
      <c r="I102" s="2219">
        <f t="shared" si="44"/>
        <v>2366.7105000000001</v>
      </c>
      <c r="J102" s="2219">
        <f t="shared" si="45"/>
        <v>1570.5360000000001</v>
      </c>
      <c r="K102" s="2219">
        <f t="shared" si="46"/>
        <v>1112.6613000000002</v>
      </c>
      <c r="L102" s="2219">
        <f t="shared" si="47"/>
        <v>892.35</v>
      </c>
      <c r="M102" s="2219">
        <f t="shared" si="48"/>
        <v>614.73</v>
      </c>
      <c r="N102" s="2198">
        <f t="shared" si="49"/>
        <v>18722.990249999999</v>
      </c>
    </row>
    <row r="103" spans="1:14">
      <c r="A103" s="2216">
        <v>2002</v>
      </c>
      <c r="B103" s="2219">
        <f t="shared" si="37"/>
        <v>566.78106000000002</v>
      </c>
      <c r="C103" s="2219">
        <f t="shared" si="38"/>
        <v>498.58569000000006</v>
      </c>
      <c r="D103" s="2219">
        <f t="shared" si="39"/>
        <v>639.31920000000002</v>
      </c>
      <c r="E103" s="2219">
        <f t="shared" si="40"/>
        <v>820.96199999999999</v>
      </c>
      <c r="F103" s="2219">
        <f t="shared" si="41"/>
        <v>743.82330000000002</v>
      </c>
      <c r="G103" s="2219">
        <f t="shared" si="42"/>
        <v>642.49200000000008</v>
      </c>
      <c r="H103" s="2219">
        <f t="shared" si="43"/>
        <v>329.49528000000004</v>
      </c>
      <c r="I103" s="2219">
        <f t="shared" si="44"/>
        <v>507.15225000000004</v>
      </c>
      <c r="J103" s="2219">
        <f t="shared" si="45"/>
        <v>575.26830000000007</v>
      </c>
      <c r="K103" s="2219">
        <f t="shared" si="46"/>
        <v>596.28809999999999</v>
      </c>
      <c r="L103" s="2219">
        <f t="shared" si="47"/>
        <v>475.32510000000008</v>
      </c>
      <c r="M103" s="2219">
        <f t="shared" si="48"/>
        <v>301.21770000000004</v>
      </c>
      <c r="N103" s="2198">
        <f t="shared" si="49"/>
        <v>6696.7099799999996</v>
      </c>
    </row>
    <row r="104" spans="1:14">
      <c r="A104" s="2216">
        <v>2003</v>
      </c>
      <c r="B104" s="2219">
        <f t="shared" si="37"/>
        <v>286.46418000000006</v>
      </c>
      <c r="C104" s="2219">
        <f t="shared" si="38"/>
        <v>272.00811000000004</v>
      </c>
      <c r="D104" s="2219">
        <f t="shared" si="39"/>
        <v>762.26520000000005</v>
      </c>
      <c r="E104" s="2219">
        <f t="shared" si="40"/>
        <v>4937.67</v>
      </c>
      <c r="F104" s="2219">
        <f t="shared" si="41"/>
        <v>5618.6322000000009</v>
      </c>
      <c r="G104" s="2219">
        <f t="shared" si="42"/>
        <v>5330.3039999999992</v>
      </c>
      <c r="H104" s="2219">
        <f t="shared" si="43"/>
        <v>2538.8348999999998</v>
      </c>
      <c r="I104" s="2219">
        <f t="shared" si="44"/>
        <v>1542.9723000000001</v>
      </c>
      <c r="J104" s="2219">
        <f t="shared" si="45"/>
        <v>1820.3940000000002</v>
      </c>
      <c r="K104" s="2219">
        <f t="shared" si="46"/>
        <v>1180.2816</v>
      </c>
      <c r="L104" s="2219">
        <f t="shared" si="47"/>
        <v>969.68700000000013</v>
      </c>
      <c r="M104" s="2219">
        <f t="shared" si="48"/>
        <v>897.50580000000002</v>
      </c>
      <c r="N104" s="2198">
        <f t="shared" si="49"/>
        <v>26157.019290000004</v>
      </c>
    </row>
    <row r="105" spans="1:14">
      <c r="A105" s="2216">
        <v>2004</v>
      </c>
      <c r="B105" s="2219">
        <f t="shared" si="37"/>
        <v>836.03280000000007</v>
      </c>
      <c r="C105" s="2219">
        <f t="shared" si="38"/>
        <v>713.08680000000004</v>
      </c>
      <c r="D105" s="2219">
        <f t="shared" si="39"/>
        <v>903.65309999999999</v>
      </c>
      <c r="E105" s="2219">
        <f t="shared" si="40"/>
        <v>1963.1700000000003</v>
      </c>
      <c r="F105" s="2219">
        <f t="shared" si="41"/>
        <v>3172.0068000000001</v>
      </c>
      <c r="G105" s="2219">
        <f t="shared" si="42"/>
        <v>2326.0590000000002</v>
      </c>
      <c r="H105" s="2219">
        <f t="shared" si="43"/>
        <v>5022.3441000000012</v>
      </c>
      <c r="I105" s="2219">
        <f t="shared" si="44"/>
        <v>3958.8612000000007</v>
      </c>
      <c r="J105" s="2219">
        <f t="shared" si="45"/>
        <v>1820.3940000000002</v>
      </c>
      <c r="K105" s="2219">
        <f t="shared" si="46"/>
        <v>2090.0819999999999</v>
      </c>
      <c r="L105" s="2219">
        <f t="shared" si="47"/>
        <v>1433.7090000000001</v>
      </c>
      <c r="M105" s="2219">
        <f t="shared" si="48"/>
        <v>1309.3749</v>
      </c>
      <c r="N105" s="2198">
        <f t="shared" si="49"/>
        <v>25548.773699999998</v>
      </c>
    </row>
    <row r="106" spans="1:14">
      <c r="A106" s="2216">
        <v>2005</v>
      </c>
      <c r="B106" s="2219">
        <f t="shared" si="37"/>
        <v>1131.1032</v>
      </c>
      <c r="C106" s="2219">
        <f t="shared" si="38"/>
        <v>943.11480000000006</v>
      </c>
      <c r="D106" s="2219">
        <f t="shared" si="39"/>
        <v>1020.4518000000002</v>
      </c>
      <c r="E106" s="2219">
        <f t="shared" si="40"/>
        <v>2873.3669999999997</v>
      </c>
      <c r="F106" s="2219">
        <f t="shared" si="41"/>
        <v>6331.719000000001</v>
      </c>
      <c r="G106" s="2219">
        <f t="shared" si="42"/>
        <v>4812.7410000000009</v>
      </c>
      <c r="H106" s="2219">
        <f t="shared" si="43"/>
        <v>2532.6876000000002</v>
      </c>
      <c r="I106" s="2219">
        <f t="shared" si="44"/>
        <v>2151.5549999999998</v>
      </c>
      <c r="J106" s="2219">
        <f t="shared" si="45"/>
        <v>1237.3920000000001</v>
      </c>
      <c r="K106" s="2219">
        <f t="shared" si="46"/>
        <v>1174.1343000000002</v>
      </c>
      <c r="L106" s="2219">
        <f t="shared" si="47"/>
        <v>838.80899999999997</v>
      </c>
      <c r="M106" s="2219">
        <f t="shared" si="48"/>
        <v>700.79220000000009</v>
      </c>
      <c r="N106" s="2198">
        <f t="shared" si="49"/>
        <v>25747.866900000005</v>
      </c>
    </row>
    <row r="107" spans="1:14">
      <c r="A107" s="2216">
        <v>2006</v>
      </c>
      <c r="B107" s="2219">
        <f t="shared" si="37"/>
        <v>676.20300000000009</v>
      </c>
      <c r="C107" s="2219">
        <f t="shared" si="38"/>
        <v>638.32770000000005</v>
      </c>
      <c r="D107" s="2219">
        <f t="shared" si="39"/>
        <v>793.00170000000003</v>
      </c>
      <c r="E107" s="2219">
        <f t="shared" si="40"/>
        <v>981.58500000000015</v>
      </c>
      <c r="F107" s="2219">
        <f t="shared" si="41"/>
        <v>1254.0492000000002</v>
      </c>
      <c r="G107" s="2219">
        <f t="shared" si="42"/>
        <v>791.2170000000001</v>
      </c>
      <c r="H107" s="2219">
        <f t="shared" si="43"/>
        <v>3061.3553999999999</v>
      </c>
      <c r="I107" s="2219">
        <f t="shared" si="44"/>
        <v>1893.3684000000003</v>
      </c>
      <c r="J107" s="2219">
        <f t="shared" si="45"/>
        <v>1386.1170000000002</v>
      </c>
      <c r="K107" s="2219">
        <f t="shared" si="46"/>
        <v>1186.4289000000001</v>
      </c>
      <c r="L107" s="2219">
        <f t="shared" si="47"/>
        <v>1076.7690000000002</v>
      </c>
      <c r="M107" s="2219">
        <f t="shared" si="48"/>
        <v>995.86260000000004</v>
      </c>
      <c r="N107" s="2198">
        <f t="shared" si="49"/>
        <v>14734.284900000002</v>
      </c>
    </row>
    <row r="108" spans="1:14">
      <c r="A108" s="2216">
        <v>2007</v>
      </c>
      <c r="B108" s="2219">
        <f t="shared" si="37"/>
        <v>977.42070000000001</v>
      </c>
      <c r="C108" s="2219">
        <f t="shared" si="38"/>
        <v>920.11200000000008</v>
      </c>
      <c r="D108" s="2219">
        <f t="shared" si="39"/>
        <v>2213.0280000000002</v>
      </c>
      <c r="E108" s="2219">
        <f t="shared" si="40"/>
        <v>3831.1560000000004</v>
      </c>
      <c r="F108" s="2219">
        <f t="shared" si="41"/>
        <v>11218.822500000002</v>
      </c>
      <c r="G108" s="2219">
        <f t="shared" si="42"/>
        <v>8828.3160000000007</v>
      </c>
      <c r="H108" s="2219">
        <f t="shared" si="43"/>
        <v>4020.3342000000007</v>
      </c>
      <c r="I108" s="2219">
        <f t="shared" si="44"/>
        <v>3565.4340000000002</v>
      </c>
      <c r="J108" s="2219">
        <f t="shared" si="45"/>
        <v>1986.9660000000001</v>
      </c>
      <c r="K108" s="2219">
        <f t="shared" si="46"/>
        <v>1444.6155000000001</v>
      </c>
      <c r="L108" s="2219">
        <f t="shared" si="47"/>
        <v>1195.7490000000003</v>
      </c>
      <c r="M108" s="2219">
        <f t="shared" si="48"/>
        <v>1057.3355999999999</v>
      </c>
      <c r="N108" s="2198">
        <f t="shared" si="49"/>
        <v>41259.289500000006</v>
      </c>
    </row>
    <row r="109" spans="1:14">
      <c r="A109" s="2216">
        <v>2008</v>
      </c>
      <c r="B109" s="2219">
        <f t="shared" si="37"/>
        <v>829.88550000000009</v>
      </c>
      <c r="C109" s="2219">
        <f t="shared" si="38"/>
        <v>638.32770000000005</v>
      </c>
      <c r="D109" s="2219">
        <f t="shared" si="39"/>
        <v>934.38959999999997</v>
      </c>
      <c r="E109" s="2219">
        <f t="shared" si="40"/>
        <v>1231.443</v>
      </c>
      <c r="F109" s="2219">
        <f t="shared" si="41"/>
        <v>3116.6811000000002</v>
      </c>
      <c r="G109" s="2219">
        <f t="shared" si="42"/>
        <v>3498.0119999999997</v>
      </c>
      <c r="H109" s="2219">
        <f t="shared" si="43"/>
        <v>2065.4928000000004</v>
      </c>
      <c r="I109" s="2219">
        <f t="shared" si="44"/>
        <v>1745.8332</v>
      </c>
      <c r="J109" s="2219">
        <f t="shared" si="45"/>
        <v>1255.239</v>
      </c>
      <c r="K109" s="2219">
        <f t="shared" si="46"/>
        <v>1094.2194000000002</v>
      </c>
      <c r="L109" s="2219">
        <f t="shared" si="47"/>
        <v>832.86</v>
      </c>
      <c r="M109" s="2219">
        <f t="shared" si="48"/>
        <v>811.44359999999995</v>
      </c>
      <c r="N109" s="2198">
        <f t="shared" si="49"/>
        <v>18053.8269</v>
      </c>
    </row>
    <row r="110" spans="1:14">
      <c r="A110" s="2216">
        <v>2009</v>
      </c>
      <c r="B110" s="2219">
        <f t="shared" si="37"/>
        <v>780.70710000000008</v>
      </c>
      <c r="C110" s="2219">
        <f t="shared" si="38"/>
        <v>736.08960000000013</v>
      </c>
      <c r="D110" s="2219">
        <f t="shared" si="39"/>
        <v>682.35030000000006</v>
      </c>
      <c r="E110" s="2219">
        <f t="shared" si="40"/>
        <v>1356.3720000000001</v>
      </c>
      <c r="F110" s="2219">
        <f t="shared" si="41"/>
        <v>3258.069</v>
      </c>
      <c r="G110" s="2219">
        <f t="shared" si="42"/>
        <v>3801.4110000000001</v>
      </c>
      <c r="H110" s="2219">
        <f t="shared" si="43"/>
        <v>2569.5713999999998</v>
      </c>
      <c r="I110" s="2219">
        <f t="shared" si="44"/>
        <v>1364.7006000000001</v>
      </c>
      <c r="J110" s="2219">
        <f t="shared" si="45"/>
        <v>1106.5140000000001</v>
      </c>
      <c r="K110" s="2219">
        <f t="shared" si="46"/>
        <v>1020.4518000000002</v>
      </c>
      <c r="L110" s="2219">
        <f t="shared" si="47"/>
        <v>749.57400000000007</v>
      </c>
      <c r="M110" s="2219">
        <f t="shared" si="48"/>
        <v>682.35030000000006</v>
      </c>
      <c r="N110" s="2198">
        <f t="shared" si="49"/>
        <v>18108.161099999998</v>
      </c>
    </row>
    <row r="111" spans="1:14">
      <c r="A111" s="2216">
        <v>2010</v>
      </c>
      <c r="B111" s="2219">
        <f t="shared" si="37"/>
        <v>614.73</v>
      </c>
      <c r="C111" s="2219">
        <f t="shared" si="38"/>
        <v>515.83779000000004</v>
      </c>
      <c r="D111" s="2219">
        <f t="shared" si="39"/>
        <v>1063.4829</v>
      </c>
      <c r="E111" s="2219">
        <f t="shared" si="40"/>
        <v>1737.1080000000002</v>
      </c>
      <c r="F111" s="2219">
        <f t="shared" si="41"/>
        <v>3590.0232000000001</v>
      </c>
      <c r="G111" s="2219">
        <f t="shared" si="42"/>
        <v>4092.9119999999998</v>
      </c>
      <c r="H111" s="2219">
        <f t="shared" si="43"/>
        <v>2249.9118000000003</v>
      </c>
      <c r="I111" s="2219">
        <f t="shared" si="44"/>
        <v>2643.3389999999999</v>
      </c>
      <c r="J111" s="2219">
        <f t="shared" si="45"/>
        <v>1166.0040000000001</v>
      </c>
      <c r="K111" s="2219">
        <f t="shared" si="46"/>
        <v>1020.4518000000002</v>
      </c>
      <c r="L111" s="2219">
        <f t="shared" si="47"/>
        <v>963.73800000000006</v>
      </c>
      <c r="M111" s="2219">
        <f t="shared" si="48"/>
        <v>774.5598</v>
      </c>
      <c r="N111" s="2198">
        <f t="shared" si="49"/>
        <v>20432.098289999998</v>
      </c>
    </row>
    <row r="112" spans="1:14">
      <c r="A112" s="2216">
        <v>2011</v>
      </c>
      <c r="B112" s="2219">
        <f t="shared" si="37"/>
        <v>576.00201000000004</v>
      </c>
      <c r="C112" s="2219">
        <f t="shared" si="38"/>
        <v>638.32770000000005</v>
      </c>
      <c r="D112" s="2219">
        <f t="shared" si="39"/>
        <v>639.31920000000002</v>
      </c>
      <c r="E112" s="2219">
        <f t="shared" si="40"/>
        <v>755.52300000000002</v>
      </c>
      <c r="F112" s="2219">
        <f t="shared" si="41"/>
        <v>1481.4992999999999</v>
      </c>
      <c r="G112" s="2219">
        <f t="shared" si="42"/>
        <v>2213.0280000000002</v>
      </c>
      <c r="H112" s="2219">
        <f t="shared" si="43"/>
        <v>2919.9675000000002</v>
      </c>
      <c r="I112" s="2219">
        <f t="shared" si="44"/>
        <v>1708.9494</v>
      </c>
      <c r="J112" s="2219">
        <f t="shared" si="45"/>
        <v>1231.443</v>
      </c>
      <c r="K112" s="2219">
        <f t="shared" si="46"/>
        <v>1002.0099000000001</v>
      </c>
      <c r="L112" s="2219">
        <f t="shared" si="47"/>
        <v>928.04399999999998</v>
      </c>
      <c r="M112" s="2219">
        <f t="shared" si="48"/>
        <v>958.97879999999998</v>
      </c>
      <c r="N112" s="2198">
        <f t="shared" si="49"/>
        <v>15053.091810000002</v>
      </c>
    </row>
    <row r="113" spans="1:14">
      <c r="A113" s="2216">
        <v>2012</v>
      </c>
      <c r="B113" s="2219">
        <f t="shared" si="37"/>
        <v>940.53690000000006</v>
      </c>
      <c r="C113" s="2219">
        <f t="shared" si="38"/>
        <v>805.09799999999996</v>
      </c>
      <c r="D113" s="2219">
        <f t="shared" si="39"/>
        <v>879.0639000000001</v>
      </c>
      <c r="E113" s="2219">
        <f t="shared" si="40"/>
        <v>1005.3809999999999</v>
      </c>
      <c r="F113" s="2219">
        <f t="shared" si="41"/>
        <v>1131.1032</v>
      </c>
      <c r="G113" s="2219">
        <f t="shared" si="42"/>
        <v>618.69600000000003</v>
      </c>
      <c r="H113" s="2219">
        <f t="shared" si="43"/>
        <v>1266.3438000000001</v>
      </c>
      <c r="I113" s="2219">
        <f t="shared" si="44"/>
        <v>1333.9641000000001</v>
      </c>
      <c r="J113" s="2219">
        <f t="shared" si="45"/>
        <v>945.89100000000008</v>
      </c>
      <c r="K113" s="2219">
        <f t="shared" si="46"/>
        <v>866.76930000000004</v>
      </c>
      <c r="L113" s="2219">
        <f t="shared" si="47"/>
        <v>886.40100000000007</v>
      </c>
      <c r="M113" s="2219">
        <f t="shared" si="48"/>
        <v>550.18335000000002</v>
      </c>
      <c r="N113" s="2198">
        <f t="shared" si="49"/>
        <v>11229.431549999999</v>
      </c>
    </row>
    <row r="114" spans="1:14">
      <c r="A114" s="2216">
        <v>2013</v>
      </c>
      <c r="B114" s="2219">
        <f t="shared" si="37"/>
        <v>362.69070000000005</v>
      </c>
      <c r="C114" s="2219">
        <f t="shared" si="38"/>
        <v>338.14116000000001</v>
      </c>
      <c r="D114" s="2219">
        <f t="shared" si="39"/>
        <v>476.41575000000006</v>
      </c>
      <c r="E114" s="2219">
        <f t="shared" si="40"/>
        <v>832.86</v>
      </c>
      <c r="F114" s="2219">
        <f t="shared" si="41"/>
        <v>3749.8530000000001</v>
      </c>
      <c r="G114" s="2219">
        <f t="shared" si="42"/>
        <v>2082.15</v>
      </c>
      <c r="H114" s="2219">
        <f t="shared" si="43"/>
        <v>1801.1589000000001</v>
      </c>
      <c r="I114" s="2219">
        <f t="shared" si="44"/>
        <v>1997.8725000000002</v>
      </c>
      <c r="J114" s="2219">
        <f t="shared" si="45"/>
        <v>19851.813000000002</v>
      </c>
      <c r="K114" s="2219">
        <f t="shared" si="46"/>
        <v>4911.6927000000005</v>
      </c>
      <c r="L114" s="2219">
        <f t="shared" si="47"/>
        <v>2195.181</v>
      </c>
      <c r="M114" s="2219">
        <f t="shared" si="48"/>
        <v>1672.0656000000001</v>
      </c>
      <c r="N114" s="2198">
        <f t="shared" si="49"/>
        <v>40271.894310000003</v>
      </c>
    </row>
    <row r="115" spans="1:14">
      <c r="A115" s="2216">
        <v>2014</v>
      </c>
      <c r="B115" s="2219">
        <f t="shared" si="37"/>
        <v>1241.7546000000002</v>
      </c>
      <c r="C115" s="2219">
        <f t="shared" si="38"/>
        <v>1086.8823</v>
      </c>
      <c r="D115" s="2219">
        <f t="shared" si="39"/>
        <v>1192.5762</v>
      </c>
      <c r="E115" s="2219">
        <f t="shared" si="40"/>
        <v>1981.0170000000001</v>
      </c>
      <c r="F115" s="2219">
        <f t="shared" si="41"/>
        <v>5089.9643999999998</v>
      </c>
      <c r="G115" s="2219">
        <f t="shared" si="42"/>
        <v>5568.2640000000001</v>
      </c>
      <c r="H115" s="2219">
        <f t="shared" si="43"/>
        <v>3424.0461</v>
      </c>
      <c r="I115" s="2219">
        <f t="shared" si="44"/>
        <v>3190.4486999999999</v>
      </c>
      <c r="J115" s="2219">
        <f t="shared" si="45"/>
        <v>2254.6709999999998</v>
      </c>
      <c r="K115" s="2219">
        <f t="shared" si="46"/>
        <v>1905.6630000000002</v>
      </c>
      <c r="L115" s="2219">
        <f t="shared" si="47"/>
        <v>1302.8310000000001</v>
      </c>
      <c r="M115" s="2219">
        <f t="shared" si="48"/>
        <v>786.85440000000017</v>
      </c>
      <c r="N115" s="2198">
        <f t="shared" si="49"/>
        <v>29024.972700000002</v>
      </c>
    </row>
    <row r="116" spans="1:14">
      <c r="A116" s="2216">
        <v>2015</v>
      </c>
      <c r="B116" s="2219">
        <f t="shared" si="37"/>
        <v>1051.1883</v>
      </c>
      <c r="C116" s="2219">
        <f t="shared" si="38"/>
        <v>787.84590000000003</v>
      </c>
      <c r="D116" s="2219">
        <f t="shared" si="39"/>
        <v>1266.3438000000001</v>
      </c>
      <c r="E116" s="2219">
        <f t="shared" si="40"/>
        <v>1969.1190000000004</v>
      </c>
      <c r="F116" s="2219">
        <f t="shared" si="41"/>
        <v>16794.423599999998</v>
      </c>
      <c r="G116" s="2219">
        <f t="shared" si="42"/>
        <v>17150.967000000004</v>
      </c>
      <c r="H116" s="2219">
        <f t="shared" si="43"/>
        <v>8446.3901999999998</v>
      </c>
      <c r="I116" s="2219">
        <f t="shared" si="44"/>
        <v>3276.5108999999998</v>
      </c>
      <c r="J116" s="2219">
        <f t="shared" si="45"/>
        <v>1588.383</v>
      </c>
      <c r="K116" s="2219">
        <f t="shared" si="46"/>
        <v>1499.9412</v>
      </c>
      <c r="L116" s="2219">
        <f t="shared" si="47"/>
        <v>1344.4740000000002</v>
      </c>
      <c r="M116" s="2219">
        <f t="shared" si="48"/>
        <v>1327.8168000000003</v>
      </c>
      <c r="N116" s="2198">
        <f t="shared" si="49"/>
        <v>56503.40370000001</v>
      </c>
    </row>
    <row r="117" spans="1:14">
      <c r="A117" s="2216">
        <v>2016</v>
      </c>
      <c r="B117" s="2219">
        <f t="shared" si="37"/>
        <v>1051.1883</v>
      </c>
      <c r="C117" s="2219">
        <f t="shared" si="38"/>
        <v>891.35850000000005</v>
      </c>
      <c r="D117" s="2219">
        <f t="shared" si="39"/>
        <v>989.71530000000018</v>
      </c>
      <c r="E117" s="2219">
        <f t="shared" si="40"/>
        <v>2825.7750000000001</v>
      </c>
      <c r="F117" s="2219">
        <f t="shared" si="41"/>
        <v>6055.0905000000002</v>
      </c>
      <c r="G117" s="2219">
        <f t="shared" si="42"/>
        <v>5740.7849999999999</v>
      </c>
      <c r="H117" s="2219">
        <f t="shared" si="43"/>
        <v>3104.3865000000001</v>
      </c>
      <c r="I117" s="2219">
        <f t="shared" si="44"/>
        <v>1555.2669000000001</v>
      </c>
      <c r="J117" s="2219">
        <f t="shared" si="45"/>
        <v>999.43200000000024</v>
      </c>
      <c r="K117" s="2219">
        <f t="shared" si="46"/>
        <v>836.03280000000007</v>
      </c>
      <c r="L117" s="2219">
        <f t="shared" si="47"/>
        <v>719.82899999999995</v>
      </c>
      <c r="M117" s="2219">
        <f t="shared" si="48"/>
        <v>657.76109999999994</v>
      </c>
      <c r="N117" s="2198">
        <f t="shared" si="49"/>
        <v>25426.620900000002</v>
      </c>
    </row>
    <row r="118" spans="1:14">
      <c r="A118" s="2216">
        <v>2017</v>
      </c>
      <c r="B118" s="2219">
        <f t="shared" si="37"/>
        <v>633.17190000000005</v>
      </c>
      <c r="C118" s="2219">
        <f t="shared" si="38"/>
        <v>573.3447900000001</v>
      </c>
      <c r="D118" s="2219">
        <f t="shared" si="39"/>
        <v>774.5598</v>
      </c>
      <c r="E118" s="2219">
        <f t="shared" si="40"/>
        <v>1041.075</v>
      </c>
      <c r="F118" s="2219">
        <f t="shared" si="41"/>
        <v>2317.5320999999999</v>
      </c>
      <c r="G118" s="2219">
        <f t="shared" si="42"/>
        <v>3747.87</v>
      </c>
      <c r="H118" s="2219">
        <f t="shared" si="43"/>
        <v>2729.4012000000002</v>
      </c>
      <c r="I118" s="2219">
        <f t="shared" si="44"/>
        <v>2508.0984000000003</v>
      </c>
      <c r="J118" s="2219">
        <f t="shared" si="45"/>
        <v>1570.5360000000001</v>
      </c>
      <c r="K118" s="2219">
        <f t="shared" si="46"/>
        <v>1973.2833000000003</v>
      </c>
      <c r="L118" s="2219">
        <f t="shared" si="47"/>
        <v>1267.1370000000002</v>
      </c>
      <c r="M118" s="2219">
        <f t="shared" si="48"/>
        <v>719.23410000000001</v>
      </c>
      <c r="N118" s="2198">
        <f t="shared" si="49"/>
        <v>19855.243590000002</v>
      </c>
    </row>
    <row r="119" spans="1:14">
      <c r="A119" s="2216">
        <v>2018</v>
      </c>
      <c r="B119" s="2219">
        <f t="shared" si="37"/>
        <v>633.17190000000005</v>
      </c>
      <c r="C119" s="2219">
        <f t="shared" si="38"/>
        <v>759.0924</v>
      </c>
      <c r="D119" s="2219">
        <f t="shared" si="39"/>
        <v>854.47469999999998</v>
      </c>
      <c r="E119" s="2219">
        <f t="shared" si="40"/>
        <v>826.91100000000006</v>
      </c>
      <c r="F119" s="2219">
        <f t="shared" si="41"/>
        <v>1598.298</v>
      </c>
      <c r="G119" s="2219">
        <f t="shared" si="42"/>
        <v>1064.8710000000001</v>
      </c>
      <c r="H119" s="2219">
        <f t="shared" si="43"/>
        <v>799.149</v>
      </c>
      <c r="I119" s="2219">
        <f t="shared" si="44"/>
        <v>555.71591999999998</v>
      </c>
      <c r="J119" s="2219">
        <f t="shared" si="45"/>
        <v>636.54300000000001</v>
      </c>
      <c r="K119" s="2219">
        <f t="shared" si="46"/>
        <v>657.76109999999994</v>
      </c>
      <c r="L119" s="2219">
        <f t="shared" si="47"/>
        <v>1023.228</v>
      </c>
      <c r="M119" s="2219">
        <f t="shared" si="48"/>
        <v>568.01052000000004</v>
      </c>
      <c r="N119" s="2198">
        <f t="shared" si="49"/>
        <v>9977.2265399999997</v>
      </c>
    </row>
    <row r="120" spans="1:14">
      <c r="A120" s="2216">
        <v>2019</v>
      </c>
      <c r="B120" s="2219">
        <f t="shared" si="37"/>
        <v>477.03048000000001</v>
      </c>
      <c r="C120" s="2219">
        <f t="shared" si="38"/>
        <v>453.73023000000001</v>
      </c>
      <c r="D120" s="2219">
        <f t="shared" si="39"/>
        <v>737.67599999999993</v>
      </c>
      <c r="E120" s="2219">
        <f t="shared" si="40"/>
        <v>1100.5650000000001</v>
      </c>
      <c r="F120" s="2219">
        <f t="shared" si="41"/>
        <v>2114.6711999999998</v>
      </c>
      <c r="G120" s="2219">
        <f t="shared" si="42"/>
        <v>4747.3020000000006</v>
      </c>
      <c r="H120" s="2219">
        <f t="shared" si="43"/>
        <v>4020.3342000000007</v>
      </c>
      <c r="I120" s="2219">
        <f t="shared" si="44"/>
        <v>2206.8807000000002</v>
      </c>
      <c r="J120" s="2219">
        <f t="shared" si="45"/>
        <v>1047.0240000000001</v>
      </c>
      <c r="K120" s="2219">
        <f t="shared" si="46"/>
        <v>461.90000000000003</v>
      </c>
      <c r="L120" s="2219">
        <f t="shared" si="47"/>
        <v>447</v>
      </c>
      <c r="M120" s="2219">
        <f t="shared" si="48"/>
        <v>678.9</v>
      </c>
      <c r="N120" s="2198">
        <f t="shared" si="49"/>
        <v>18493.013810000004</v>
      </c>
    </row>
  </sheetData>
  <mergeCells count="19">
    <mergeCell ref="A2:N2"/>
    <mergeCell ref="B5:M5"/>
    <mergeCell ref="A3:A6"/>
    <mergeCell ref="B43:B45"/>
    <mergeCell ref="C43:C45"/>
    <mergeCell ref="D43:D45"/>
    <mergeCell ref="E43:E45"/>
    <mergeCell ref="F43:F45"/>
    <mergeCell ref="G43:G45"/>
    <mergeCell ref="B3:M3"/>
    <mergeCell ref="B4:M4"/>
    <mergeCell ref="A47:M47"/>
    <mergeCell ref="A84:M84"/>
    <mergeCell ref="H43:H45"/>
    <mergeCell ref="I43:I45"/>
    <mergeCell ref="J43:J45"/>
    <mergeCell ref="K43:K45"/>
    <mergeCell ref="L43:L45"/>
    <mergeCell ref="M43:M4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19</vt:i4>
      </vt:variant>
    </vt:vector>
  </HeadingPairs>
  <TitlesOfParts>
    <vt:vector size="63" baseType="lpstr">
      <vt:lpstr>Reservoir Summary Stats</vt:lpstr>
      <vt:lpstr>Annual Reservoir Trends</vt:lpstr>
      <vt:lpstr>Nitrogen Trends</vt:lpstr>
      <vt:lpstr>Phosphorus Trends</vt:lpstr>
      <vt:lpstr>Loading</vt:lpstr>
      <vt:lpstr>Carlson</vt:lpstr>
      <vt:lpstr>Walker</vt:lpstr>
      <vt:lpstr>Monthly Discharge</vt:lpstr>
      <vt:lpstr>Evergreen</vt:lpstr>
      <vt:lpstr>P1 Periphyton Clarity</vt:lpstr>
      <vt:lpstr>Air Temp</vt:lpstr>
      <vt:lpstr>W Temperature</vt:lpstr>
      <vt:lpstr>Conductance</vt:lpstr>
      <vt:lpstr>pH</vt:lpstr>
      <vt:lpstr>Oxygen</vt:lpstr>
      <vt:lpstr>Temp DO Comp</vt:lpstr>
      <vt:lpstr>T Phosphorus</vt:lpstr>
      <vt:lpstr>T Nitrogen</vt:lpstr>
      <vt:lpstr>Chlsecchi</vt:lpstr>
      <vt:lpstr>GEI P1 Sites</vt:lpstr>
      <vt:lpstr>P1 Summary</vt:lpstr>
      <vt:lpstr>GEI Coyote Gulch</vt:lpstr>
      <vt:lpstr>Coyote Summary</vt:lpstr>
      <vt:lpstr>GEI Mt Evans</vt:lpstr>
      <vt:lpstr>Mt Evans Summary</vt:lpstr>
      <vt:lpstr>Fen Study</vt:lpstr>
      <vt:lpstr>GEI Copper</vt:lpstr>
      <vt:lpstr>Copper Study</vt:lpstr>
      <vt:lpstr>GEI Watershed</vt:lpstr>
      <vt:lpstr>MWS 2019 Field</vt:lpstr>
      <vt:lpstr>MWS 2019 chemistry</vt:lpstr>
      <vt:lpstr>E. coli</vt:lpstr>
      <vt:lpstr>GEI EGL</vt:lpstr>
      <vt:lpstr>EGL Summary</vt:lpstr>
      <vt:lpstr>2019 Sediment</vt:lpstr>
      <vt:lpstr>2019 Sites</vt:lpstr>
      <vt:lpstr>Parameters 2019</vt:lpstr>
      <vt:lpstr>Methods Labratory</vt:lpstr>
      <vt:lpstr>TU Temp Data</vt:lpstr>
      <vt:lpstr>P1 Field Sheet</vt:lpstr>
      <vt:lpstr>Field WS</vt:lpstr>
      <vt:lpstr>Macro Samples</vt:lpstr>
      <vt:lpstr>Macro Field</vt:lpstr>
      <vt:lpstr>BCR O2 Record</vt:lpstr>
      <vt:lpstr>'2019 Sediment'!Print_Area</vt:lpstr>
      <vt:lpstr>Carlson!Print_Area</vt:lpstr>
      <vt:lpstr>Chlsecchi!Print_Area</vt:lpstr>
      <vt:lpstr>Conductance!Print_Area</vt:lpstr>
      <vt:lpstr>'Field WS'!Print_Area</vt:lpstr>
      <vt:lpstr>'GEI EGL'!Print_Area</vt:lpstr>
      <vt:lpstr>'GEI Watershed'!Print_Area</vt:lpstr>
      <vt:lpstr>Loading!Print_Area</vt:lpstr>
      <vt:lpstr>'Macro Field'!Print_Area</vt:lpstr>
      <vt:lpstr>'Mt Evans Summary'!Print_Area</vt:lpstr>
      <vt:lpstr>Oxygen!Print_Area</vt:lpstr>
      <vt:lpstr>'P1 Field Sheet'!Print_Area</vt:lpstr>
      <vt:lpstr>'P1 Summary'!Print_Area</vt:lpstr>
      <vt:lpstr>pH!Print_Area</vt:lpstr>
      <vt:lpstr>'Phosphorus Trends'!Print_Area</vt:lpstr>
      <vt:lpstr>'T Phosphorus'!Print_Area</vt:lpstr>
      <vt:lpstr>'Temp DO Comp'!Print_Area</vt:lpstr>
      <vt:lpstr>'W Temperature'!Print_Area</vt:lpstr>
      <vt:lpstr>Walker!Print_Area</vt:lpstr>
    </vt:vector>
  </TitlesOfParts>
  <Company>Dell Computer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Preferred Customer</dc:creator>
  <cp:lastModifiedBy>RNC Consulting LLC</cp:lastModifiedBy>
  <cp:lastPrinted>2020-03-03T19:59:41Z</cp:lastPrinted>
  <dcterms:created xsi:type="dcterms:W3CDTF">2000-11-21T22:42:26Z</dcterms:created>
  <dcterms:modified xsi:type="dcterms:W3CDTF">2020-05-08T22:07:38Z</dcterms:modified>
</cp:coreProperties>
</file>